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325"/>
  <workbookPr showInkAnnotation="0" codeName="ThisWorkbook" autoCompressPictures="0"/>
  <mc:AlternateContent xmlns:mc="http://schemas.openxmlformats.org/markup-compatibility/2006">
    <mc:Choice Requires="x15">
      <x15ac:absPath xmlns:x15ac="http://schemas.microsoft.com/office/spreadsheetml/2010/11/ac" url="C:\Users\sfischer\Desktop\"/>
    </mc:Choice>
  </mc:AlternateContent>
  <xr:revisionPtr revIDLastSave="0" documentId="8_{CBB45E39-2408-4536-8D4C-13E11C81875F}" xr6:coauthVersionLast="45" xr6:coauthVersionMax="45" xr10:uidLastSave="{00000000-0000-0000-0000-000000000000}"/>
  <workbookProtection workbookPassword="E31B"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5" i="5"/>
  <c r="C5" i="5"/>
  <c r="B14" i="5"/>
  <c r="C14" i="5"/>
  <c r="B6" i="5"/>
  <c r="C6"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s="1"/>
  <c r="B56" i="6"/>
  <c r="G56" i="6" s="1"/>
  <c r="B55" i="6"/>
  <c r="G55" i="6" s="1"/>
  <c r="B54" i="6"/>
  <c r="G54" i="6" s="1"/>
  <c r="B53" i="6"/>
  <c r="G53" i="6" s="1"/>
  <c r="B50" i="6"/>
  <c r="G50" i="6" s="1"/>
  <c r="H14" i="6"/>
  <c r="H61" i="4"/>
  <c r="B86" i="4"/>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38" i="6" l="1"/>
  <c r="C13" i="6"/>
  <c r="C12" i="6"/>
  <c r="C11" i="6"/>
  <c r="C10" i="6"/>
  <c r="C8" i="6"/>
  <c r="C7" i="6"/>
  <c r="C4" i="6"/>
  <c r="C5" i="6"/>
  <c r="B28" i="6"/>
  <c r="B43" i="6"/>
  <c r="B33"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G41" i="6" s="1"/>
  <c r="G21" i="6"/>
  <c r="H21" i="6" s="1"/>
  <c r="B26" i="6"/>
  <c r="B36" i="6"/>
  <c r="B46" i="6"/>
  <c r="G46" i="6" s="1"/>
  <c r="G31" i="6"/>
  <c r="H22" i="6"/>
  <c r="D22" i="6" s="1"/>
  <c r="G47" i="6"/>
  <c r="G42" i="6"/>
  <c r="G26" i="6"/>
  <c r="K65" i="6"/>
  <c r="C65" i="6" s="1"/>
  <c r="G27" i="6"/>
  <c r="H27" i="6" s="1"/>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K64" i="6" l="1"/>
  <c r="C64" i="6" s="1"/>
  <c r="F63" i="6"/>
  <c r="F50" i="6"/>
  <c r="H25" i="6"/>
  <c r="C25" i="6" s="1"/>
  <c r="H26" i="6"/>
  <c r="C26" i="6" s="1"/>
  <c r="F41" i="6"/>
  <c r="H41" i="6" s="1"/>
  <c r="H36" i="6"/>
  <c r="C36" i="6" s="1"/>
  <c r="H37"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F46" i="6"/>
  <c r="H46" i="6" s="1"/>
  <c r="F31" i="6"/>
  <c r="H31" i="6" s="1"/>
  <c r="D31" i="6" s="1"/>
  <c r="C20" i="6"/>
  <c r="D21" i="6"/>
  <c r="C21" i="6"/>
  <c r="K63" i="6"/>
  <c r="C63" i="6" s="1"/>
  <c r="H32" i="6"/>
  <c r="C32" i="6" s="1"/>
  <c r="C22" i="6"/>
  <c r="F38" i="6"/>
  <c r="H38" i="6" s="1"/>
  <c r="F43" i="6"/>
  <c r="H43" i="6" s="1"/>
  <c r="H28" i="6"/>
  <c r="F65" i="6"/>
  <c r="F33" i="6"/>
  <c r="H33" i="6" s="1"/>
  <c r="F48" i="6"/>
  <c r="H48" i="6" s="1"/>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26" i="6" l="1"/>
  <c r="D25" i="6"/>
  <c r="C41" i="6"/>
  <c r="D41" i="6"/>
  <c r="D32" i="6"/>
  <c r="D36" i="6"/>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X57" i="5" l="1"/>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<sst xmlns="http://schemas.openxmlformats.org/spreadsheetml/2006/main" count="21610" uniqueCount="15508">
  <si>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</si>
  <si>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</si>
  <si>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</si>
  <si>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</si>
  <si>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</si>
  <si>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</si>
  <si>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</si>
  <si>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</si>
  <si>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</si>
  <si>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</si>
  <si>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</si>
  <si>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</si>
  <si>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</si>
  <si>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</si>
  <si>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</si>
  <si>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</si>
  <si>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</si>
  <si>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</si>
  <si>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</si>
  <si>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</si>
  <si>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</si>
  <si>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</si>
  <si>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</si>
  <si>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</si>
  <si>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</si>
  <si>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</si>
  <si>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</si>
  <si>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</si>
  <si>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</si>
  <si>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</si>
  <si>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</si>
  <si>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</si>
  <si>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</si>
  <si>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</si>
  <si>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</si>
  <si>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</si>
  <si>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</si>
  <si>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</si>
  <si>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</si>
  <si>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</si>
  <si>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</si>
  <si>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</si>
  <si>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</si>
  <si>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</si>
  <si>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</si>
  <si>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</si>
  <si>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</si>
  <si>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</si>
  <si>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</si>
  <si>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</si>
  <si>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</si>
  <si>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</si>
  <si>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</si>
  <si>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</si>
  <si>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</si>
  <si>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</si>
  <si>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</si>
  <si>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</si>
  <si>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</si>
  <si>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</si>
  <si>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</si>
  <si>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</si>
  <si>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</si>
  <si>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</si>
  <si>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</si>
  <si>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</si>
  <si>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</si>
  <si>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</si>
  <si>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</si>
  <si>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</si>
  <si>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</si>
  <si>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</si>
  <si>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</si>
  <si>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</si>
  <si>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</si>
  <si>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</si>
  <si>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</si>
  <si>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</si>
  <si>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</si>
  <si>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</si>
  <si>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</si>
  <si>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</si>
  <si>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</si>
  <si>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</si>
  <si>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</si>
  <si>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</si>
  <si>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</si>
  <si>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</si>
  <si>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</si>
  <si>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</si>
  <si>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</si>
  <si>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</si>
  <si>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</si>
  <si>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</si>
  <si>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</si>
  <si>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</si>
  <si>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</si>
  <si>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</si>
  <si>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</si>
  <si>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</si>
  <si>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</si>
  <si>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</si>
  <si>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</si>
  <si>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</si>
  <si>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</si>
  <si>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</si>
  <si>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</si>
  <si>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</si>
  <si>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</si>
  <si>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</si>
  <si>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</si>
  <si>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</si>
  <si>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</si>
  <si>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</si>
  <si>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</si>
  <si>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</si>
  <si>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</si>
  <si>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</si>
  <si>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</si>
  <si>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</si>
  <si>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</si>
  <si>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</si>
  <si>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</si>
  <si>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</si>
  <si>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</si>
  <si>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</si>
  <si>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</si>
  <si>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</si>
  <si>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</si>
  <si>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</si>
  <si>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</si>
  <si>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</si>
  <si>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</si>
  <si>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</si>
  <si>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</si>
  <si>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</si>
  <si>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</si>
  <si>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</si>
  <si>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</si>
  <si>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</si>
  <si>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</si>
  <si>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</si>
  <si>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</si>
  <si>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</si>
  <si>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</si>
  <si>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</si>
  <si>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</si>
  <si>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</si>
  <si>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</si>
  <si>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</si>
  <si>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</si>
  <si>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</si>
  <si>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</si>
  <si>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</si>
  <si>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</si>
  <si>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</si>
  <si>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</si>
  <si>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</si>
  <si>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</si>
  <si>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</si>
  <si>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</si>
  <si>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</si>
  <si>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</si>
  <si>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</si>
  <si>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</si>
  <si>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</si>
  <si>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</si>
  <si>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</si>
  <si>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</si>
  <si>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</si>
  <si>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</si>
  <si>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</si>
  <si>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</si>
  <si>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</si>
  <si>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</si>
  <si>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</si>
  <si>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</si>
  <si>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</si>
  <si>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</si>
  <si>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</si>
  <si>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</si>
  <si>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</si>
  <si>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</si>
  <si>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</si>
  <si>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</si>
  <si>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</si>
  <si>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</si>
  <si>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</si>
  <si>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</si>
  <si>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</si>
  <si>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</si>
  <si>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</si>
  <si>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</si>
  <si>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</si>
  <si>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</si>
  <si>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</si>
  <si>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</si>
  <si>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</si>
  <si>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</si>
  <si>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</si>
  <si>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</si>
  <si>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</si>
  <si>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</si>
  <si>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</si>
  <si>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</si>
  <si>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</si>
  <si>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</si>
  <si>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</si>
  <si>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</si>
  <si>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</si>
  <si>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</si>
  <si>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</si>
  <si>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</si>
  <si>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</si>
  <si>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</si>
  <si>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</si>
  <si>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</si>
  <si>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</si>
  <si>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</si>
  <si>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</si>
  <si>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</si>
  <si>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</si>
  <si>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</si>
  <si>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</si>
  <si>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</si>
  <si>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</si>
  <si>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</si>
  <si>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</si>
  <si>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</si>
  <si>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</si>
  <si>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</si>
  <si>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</si>
  <si>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</si>
  <si>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</si>
  <si>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</si>
  <si>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</si>
  <si>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</si>
  <si>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</si>
  <si>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</si>
  <si>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</si>
  <si>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</si>
  <si>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</si>
  <si>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</si>
  <si>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</si>
  <si>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</si>
  <si>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</si>
  <si>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</si>
  <si>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</si>
  <si>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</si>
  <si>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</si>
  <si>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</si>
  <si>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</si>
  <si>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</si>
  <si>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</si>
  <si>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</si>
  <si>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</si>
  <si>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</si>
  <si>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</si>
  <si>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</si>
  <si>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</si>
  <si>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</si>
  <si>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</si>
  <si>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</si>
  <si>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</si>
  <si>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</si>
  <si>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</si>
  <si>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</si>
  <si>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</si>
  <si>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</si>
  <si>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</si>
  <si>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</si>
  <si>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</si>
  <si>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</si>
  <si>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</si>
  <si>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</si>
  <si>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</si>
  <si>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</si>
  <si>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</si>
  <si>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</si>
  <si>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</si>
  <si>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</si>
  <si>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</si>
  <si>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</si>
  <si>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</si>
  <si>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</si>
  <si>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</si>
  <si>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</si>
  <si>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</si>
  <si>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</si>
  <si>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</si>
  <si>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</si>
  <si>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</si>
  <si>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</si>
  <si>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</si>
  <si>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</si>
  <si>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</si>
  <si>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</si>
  <si>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</si>
  <si>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</si>
  <si>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</si>
  <si>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</si>
  <si>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</si>
  <si>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</si>
  <si>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</si>
  <si>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</si>
  <si>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</si>
  <si>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</si>
  <si>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</si>
  <si>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</si>
  <si>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</si>
  <si>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</si>
  <si>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</si>
  <si>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</si>
  <si>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</si>
  <si>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</si>
  <si>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</si>
  <si>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</si>
  <si>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</si>
  <si>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</si>
  <si>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</si>
  <si>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</si>
  <si>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</si>
  <si>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</si>
  <si>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</si>
  <si>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</si>
  <si>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</si>
  <si>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</si>
  <si>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</si>
  <si>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</si>
  <si>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</si>
  <si>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</si>
  <si>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</si>
  <si>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</si>
  <si>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</si>
  <si>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</si>
  <si>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</si>
  <si>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</si>
  <si>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</si>
  <si>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</si>
  <si>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</si>
  <si>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</si>
  <si>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</si>
  <si>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</si>
  <si>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</si>
  <si>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</si>
  <si>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</si>
  <si>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</si>
  <si>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</si>
  <si>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</si>
  <si>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</si>
  <si>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</si>
  <si>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</si>
  <si>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</si>
  <si>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</si>
  <si>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</si>
  <si>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</si>
  <si>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</si>
  <si>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</si>
  <si>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</si>
  <si>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</si>
  <si>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</si>
  <si>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</si>
  <si>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</si>
  <si>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</si>
  <si>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</si>
  <si>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</si>
  <si>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</si>
  <si>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</si>
  <si>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</si>
  <si>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</si>
  <si>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</si>
  <si>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</si>
  <si>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</si>
  <si>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</si>
  <si>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</si>
  <si>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</si>
  <si>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</si>
  <si>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</si>
  <si>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</si>
  <si>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</si>
  <si>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</si>
  <si>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</si>
  <si>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</si>
  <si>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</si>
  <si>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</si>
  <si>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</si>
  <si>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</si>
  <si>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</si>
  <si>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</si>
  <si>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</si>
  <si>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</si>
  <si>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</si>
  <si>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</si>
  <si>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</si>
  <si>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</si>
  <si>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</si>
  <si>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</si>
  <si>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</si>
  <si>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</si>
  <si>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</si>
  <si>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</si>
  <si>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</si>
  <si>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</si>
  <si>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</si>
  <si>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</si>
  <si>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</si>
  <si>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</si>
  <si>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</si>
  <si>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</si>
  <si>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</si>
  <si>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</si>
  <si>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</si>
  <si>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</si>
  <si>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</si>
  <si>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</si>
  <si>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</si>
  <si>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</si>
  <si>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</si>
  <si>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</si>
  <si>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</si>
  <si>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</si>
  <si>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</si>
  <si>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</si>
  <si>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</si>
  <si>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</si>
  <si>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</si>
  <si>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</si>
  <si>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</si>
  <si>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</si>
  <si>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</si>
  <si>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</si>
  <si>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</si>
  <si>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</si>
  <si>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</si>
  <si>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</si>
  <si>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</si>
  <si>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</si>
  <si>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</si>
  <si>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</si>
  <si>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</si>
  <si>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</si>
  <si>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</si>
  <si>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</si>
  <si>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</si>
  <si>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</si>
  <si>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</si>
  <si>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</si>
  <si>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</si>
  <si>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</si>
  <si>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</si>
  <si>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</si>
  <si>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</si>
  <si>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</si>
  <si>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</si>
  <si>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</si>
  <si>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</si>
  <si>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</si>
  <si>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</si>
  <si>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</si>
  <si>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</si>
  <si>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</si>
  <si>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</si>
  <si>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</si>
  <si>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</si>
  <si>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</si>
  <si>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</si>
  <si>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</si>
  <si>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</si>
  <si>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</si>
  <si>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</si>
  <si>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</si>
  <si>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</si>
  <si>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</si>
  <si>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</si>
  <si>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</si>
  <si>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</si>
  <si>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</si>
  <si>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</si>
  <si>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</si>
  <si>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</si>
  <si>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</si>
  <si>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</si>
  <si>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</si>
  <si>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</si>
  <si>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</si>
  <si>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</si>
  <si>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</si>
  <si>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</si>
  <si>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</si>
  <si>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</si>
  <si>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</si>
  <si>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</si>
  <si>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</si>
  <si>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</si>
  <si>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</si>
  <si>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</si>
  <si>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</si>
  <si>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</si>
  <si>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</si>
  <si>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</si>
  <si>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</si>
  <si>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</si>
  <si>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</si>
  <si>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</si>
  <si>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</si>
  <si>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</si>
  <si>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</si>
  <si>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</si>
  <si>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</si>
  <si>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</si>
  <si>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</si>
  <si>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</si>
  <si>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</si>
  <si>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</si>
  <si>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</si>
  <si>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</si>
  <si>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</si>
  <si>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</si>
  <si>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</si>
  <si>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</si>
  <si>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</si>
  <si>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</si>
  <si>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</si>
  <si>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</si>
  <si>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</si>
  <si>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</si>
  <si>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</si>
  <si>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</si>
  <si>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</si>
  <si>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</si>
  <si>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</si>
  <si>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</si>
  <si>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</si>
  <si>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</si>
  <si>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</si>
  <si>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</si>
  <si>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</si>
  <si>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</si>
  <si>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</si>
  <si>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</si>
  <si>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</si>
  <si>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</si>
  <si>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</si>
  <si>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</si>
  <si>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</si>
  <si>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</si>
  <si>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</si>
  <si>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</si>
  <si>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</si>
  <si>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</si>
  <si>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</si>
  <si>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</si>
  <si>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</si>
  <si>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</si>
  <si>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</si>
  <si>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</si>
  <si>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</si>
  <si>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</si>
  <si>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</si>
  <si>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</si>
  <si>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</si>
  <si>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</si>
  <si>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</si>
  <si>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</si>
  <si>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</si>
  <si>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</si>
  <si>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</si>
  <si>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</si>
  <si>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</si>
  <si>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</si>
  <si>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</si>
  <si>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</si>
  <si>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</si>
  <si>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</si>
  <si>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</si>
  <si>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</si>
  <si>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</si>
  <si>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</si>
  <si>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</si>
  <si>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</si>
  <si>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</si>
  <si>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</si>
  <si>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</si>
  <si>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</si>
  <si>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</si>
  <si>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</si>
  <si>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</si>
  <si>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</si>
  <si>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</si>
  <si>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</si>
  <si>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</si>
  <si>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</si>
  <si>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</si>
  <si>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</si>
  <si>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</si>
  <si>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</si>
  <si>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</si>
  <si>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</si>
  <si>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</si>
  <si>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</si>
  <si>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</si>
  <si>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</si>
  <si>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</si>
  <si>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</si>
  <si>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</si>
  <si>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</si>
  <si>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</si>
  <si>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</si>
  <si>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</si>
  <si>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</si>
  <si>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</si>
  <si>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</si>
  <si>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</si>
  <si>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</si>
  <si>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</si>
  <si>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</si>
  <si>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</si>
  <si>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</si>
  <si>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</si>
  <si>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</si>
  <si>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</si>
  <si>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</si>
  <si>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</si>
  <si>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</si>
  <si>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</si>
  <si>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</si>
  <si>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</si>
  <si>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</si>
  <si>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</si>
  <si>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</si>
  <si>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</si>
  <si>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</si>
  <si>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</si>
  <si>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</si>
  <si>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</si>
  <si>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</si>
  <si>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</si>
  <si>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</si>
  <si>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</si>
  <si>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</si>
  <si>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</si>
  <si>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</si>
  <si>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</si>
  <si>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</si>
  <si>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</si>
  <si>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</si>
  <si>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</si>
  <si>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</si>
  <si>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</si>
  <si>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</si>
  <si>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</si>
  <si>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</si>
  <si>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</si>
  <si>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</si>
  <si>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</si>
  <si>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</si>
  <si>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</si>
  <si>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</si>
  <si>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</si>
  <si>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</si>
  <si>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</si>
  <si>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</si>
  <si>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</si>
  <si>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</si>
  <si>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</si>
  <si>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</si>
  <si>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</si>
  <si>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</si>
  <si>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</si>
  <si>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</si>
  <si>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</si>
  <si>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</si>
  <si>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</si>
  <si>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</si>
  <si>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</si>
  <si>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</si>
  <si>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</si>
  <si>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</si>
  <si>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</si>
  <si>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</si>
  <si>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</si>
  <si>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</si>
  <si>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</si>
  <si>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</si>
  <si>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</si>
  <si>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</si>
  <si>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</si>
  <si>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</si>
  <si>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</si>
  <si>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</si>
  <si>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</si>
  <si>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</si>
  <si>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</si>
  <si>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</si>
  <si>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</si>
  <si>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</si>
  <si>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</si>
  <si>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</si>
  <si>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</si>
  <si>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</si>
  <si>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</si>
  <si>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</si>
  <si>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</si>
  <si>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</si>
  <si>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</si>
  <si>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</si>
  <si>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</si>
  <si>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</si>
  <si>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</si>
  <si>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</si>
  <si>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</si>
  <si>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</si>
  <si>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</si>
  <si>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</si>
  <si>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</si>
  <si>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</si>
  <si>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</si>
  <si>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</si>
  <si>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</si>
  <si>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</si>
  <si>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</si>
  <si>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</si>
  <si>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</si>
  <si>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</si>
  <si>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</si>
  <si>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</si>
  <si>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</si>
  <si>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</si>
  <si>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</si>
  <si>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</si>
  <si>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</si>
  <si>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</si>
  <si>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</si>
  <si>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</si>
  <si>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</si>
  <si>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</si>
  <si>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</si>
  <si>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</si>
  <si>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</si>
  <si>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</si>
  <si>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</si>
  <si>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</si>
  <si>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</si>
  <si>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</si>
  <si>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</si>
  <si>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</si>
  <si>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</si>
  <si>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</si>
  <si>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</si>
  <si>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</si>
  <si>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</si>
  <si>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</si>
  <si>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</si>
  <si>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</si>
  <si>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</si>
  <si>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</si>
  <si>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</si>
  <si>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</si>
  <si>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</si>
  <si>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</si>
  <si>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</si>
  <si>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</si>
  <si>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</si>
  <si>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</si>
  <si>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</si>
  <si>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</si>
  <si>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</si>
  <si>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</si>
  <si>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</si>
  <si>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</si>
  <si>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</si>
  <si>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</si>
  <si>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</si>
  <si>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</si>
  <si>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</si>
  <si>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</si>
  <si>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</si>
  <si>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</si>
  <si>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</si>
  <si>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</si>
  <si>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</si>
  <si>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</si>
  <si>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</si>
  <si>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</si>
  <si>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</si>
  <si>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</si>
  <si>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</si>
  <si>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</si>
  <si>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</si>
  <si>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</si>
  <si>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</si>
  <si>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</si>
  <si>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</si>
  <si>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</si>
  <si>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</si>
  <si>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</si>
  <si>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</si>
  <si>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</si>
  <si>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</si>
  <si>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</si>
  <si>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</si>
  <si>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</si>
  <si>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</si>
  <si>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</si>
  <si>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</si>
  <si>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</si>
  <si>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</si>
  <si>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</si>
  <si>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</si>
  <si>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</si>
  <si>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</si>
  <si>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</si>
  <si>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</si>
  <si>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</si>
  <si>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</si>
  <si>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</si>
  <si>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</si>
  <si>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</si>
  <si>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</si>
  <si>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</si>
  <si>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</si>
  <si>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</si>
  <si>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</si>
  <si>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</si>
  <si>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</si>
  <si>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</si>
  <si>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</si>
  <si>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</si>
  <si>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</si>
  <si>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</si>
  <si>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</si>
  <si>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</si>
  <si>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</si>
  <si>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</si>
  <si>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</si>
  <si>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</si>
  <si>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</si>
  <si>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</si>
  <si>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</si>
  <si>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</si>
  <si>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</si>
  <si>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</si>
  <si>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</si>
  <si>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</si>
  <si>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</si>
  <si>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</si>
  <si>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</si>
  <si>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</si>
  <si>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</si>
  <si>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</si>
  <si>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</si>
  <si>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</si>
  <si>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</si>
  <si>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</si>
  <si>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</si>
  <si>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</si>
  <si>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</si>
  <si>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</si>
  <si>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</si>
  <si>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</si>
  <si>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</si>
  <si>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</si>
  <si>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</si>
  <si>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</si>
  <si>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</si>
  <si>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</si>
  <si>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</si>
  <si>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</si>
  <si>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</si>
  <si>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</si>
  <si>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</si>
  <si>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</si>
  <si>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</si>
  <si>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</si>
  <si>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</si>
  <si>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</si>
  <si>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</si>
  <si>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</si>
  <si>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</si>
  <si>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</si>
  <si>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</si>
  <si>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</si>
  <si>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</si>
  <si>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</si>
  <si>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</si>
  <si>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</si>
  <si>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</si>
  <si>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</si>
  <si>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</si>
  <si>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</si>
  <si>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</si>
  <si>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</si>
  <si>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</si>
  <si>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</si>
  <si>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</si>
  <si>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</si>
  <si>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</si>
  <si>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</si>
  <si>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</si>
  <si>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</si>
  <si>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</si>
  <si>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</si>
  <si>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</si>
  <si>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</si>
  <si>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</si>
  <si>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</si>
  <si>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</si>
  <si>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</si>
  <si>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</si>
  <si>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</si>
  <si>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</si>
  <si>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</si>
  <si>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</si>
  <si>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</si>
  <si>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</si>
  <si>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</si>
  <si>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</si>
  <si>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</si>
  <si>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</si>
  <si>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</si>
  <si>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</si>
  <si>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</si>
  <si>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</si>
  <si>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</si>
  <si>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</si>
  <si>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</si>
  <si>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</si>
  <si>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</si>
  <si>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</si>
  <si>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</si>
  <si>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</si>
  <si>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</si>
  <si>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</si>
  <si>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</si>
  <si>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</si>
  <si>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</si>
  <si>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</si>
  <si>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</si>
  <si>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</si>
  <si>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</si>
  <si>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</si>
  <si>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</si>
  <si>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</si>
  <si>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</si>
  <si>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</si>
  <si>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</si>
  <si>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</si>
  <si>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</si>
  <si>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</si>
  <si>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</si>
  <si>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</si>
  <si>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</si>
  <si>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</si>
  <si>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</si>
  <si>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</si>
  <si>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</si>
  <si>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</si>
  <si>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</si>
  <si>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</si>
  <si>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</si>
  <si>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</si>
  <si>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</si>
  <si>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</si>
  <si>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</si>
  <si>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</si>
  <si>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</si>
  <si>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</si>
  <si>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</si>
  <si>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</si>
  <si>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</si>
  <si>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</si>
  <si>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</si>
  <si>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</si>
  <si>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</si>
  <si>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</si>
  <si>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</si>
  <si>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</si>
  <si>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</si>
  <si>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</si>
  <si>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</si>
  <si>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</si>
  <si>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</si>
  <si>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</si>
  <si>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</si>
  <si>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</si>
  <si>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</si>
  <si>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</si>
  <si>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</si>
  <si>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</si>
  <si>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</si>
  <si>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</si>
  <si>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</si>
  <si>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</si>
  <si>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</si>
  <si>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</si>
  <si>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</si>
  <si>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</si>
  <si>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</si>
  <si>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</si>
  <si>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</si>
  <si>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</si>
  <si>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</si>
  <si>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</si>
  <si>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</si>
  <si>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</si>
  <si>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</si>
  <si>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</si>
  <si>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</si>
  <si>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</si>
  <si>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</si>
  <si>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</si>
  <si>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</si>
  <si>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</si>
  <si>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</si>
  <si>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</si>
  <si>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</si>
  <si>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</si>
  <si>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</si>
  <si>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</si>
  <si>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</si>
  <si>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</si>
  <si>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</si>
  <si>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</si>
  <si>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</si>
  <si>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</si>
  <si>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</si>
  <si>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</si>
  <si>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</si>
  <si>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</si>
  <si>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</si>
  <si>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</si>
  <si>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</si>
  <si>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</si>
  <si>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</si>
  <si>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</si>
  <si>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</si>
  <si>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</si>
  <si>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</si>
  <si>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</si>
  <si>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</si>
  <si>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</si>
  <si>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</si>
  <si>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</si>
  <si>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</si>
  <si>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</si>
  <si>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</si>
  <si>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</si>
  <si>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</si>
  <si>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</si>
  <si>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</si>
  <si>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</si>
  <si>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</si>
  <si>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</si>
  <si>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</si>
  <si>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</si>
  <si>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</si>
  <si>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</si>
  <si>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</si>
  <si>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</si>
  <si>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</si>
  <si>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</si>
  <si>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</si>
  <si>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</si>
  <si>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</si>
  <si>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</si>
  <si>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</si>
  <si>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</si>
  <si>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</si>
  <si>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</si>
  <si>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</si>
  <si>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</si>
  <si>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</si>
  <si>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</si>
  <si>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</si>
  <si>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</si>
  <si>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</si>
  <si>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</si>
  <si>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</si>
  <si>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</si>
  <si>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</si>
  <si>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</si>
  <si>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</si>
  <si>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</si>
  <si>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</si>
  <si>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</si>
  <si>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</si>
  <si>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</si>
  <si>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</si>
  <si>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</si>
  <si>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</si>
  <si>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</si>
  <si>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</si>
  <si>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</si>
  <si>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</si>
  <si>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</si>
  <si>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</si>
  <si>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</si>
  <si>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</si>
  <si>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</si>
  <si>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</si>
  <si>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</si>
  <si>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</si>
  <si>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</si>
  <si>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</si>
  <si>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</si>
  <si>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</si>
  <si>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</si>
  <si>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</si>
  <si>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</si>
  <si>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</si>
  <si>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</si>
  <si>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</si>
  <si>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</si>
  <si>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</si>
  <si>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</si>
  <si>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</si>
  <si>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</si>
  <si>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</si>
  <si>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</si>
  <si>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</si>
  <si>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</si>
  <si>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</si>
  <si>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</si>
  <si>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</si>
  <si>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</si>
  <si>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</si>
  <si>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</si>
  <si>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</si>
  <si>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</si>
  <si>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</si>
  <si>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</si>
  <si>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</si>
  <si>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</si>
  <si>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</si>
  <si>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</si>
  <si>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</si>
  <si>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</si>
  <si>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</si>
  <si>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</si>
  <si>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</si>
  <si>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</si>
  <si>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</si>
  <si>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</si>
  <si>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</si>
  <si>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</si>
  <si>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</si>
  <si>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</si>
  <si>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</si>
  <si>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</si>
  <si>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</si>
  <si>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</si>
  <si>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</si>
  <si>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</si>
  <si>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</si>
  <si>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</si>
  <si>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</si>
  <si>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</si>
  <si>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</si>
  <si>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</si>
  <si>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</si>
  <si>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</si>
  <si>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</si>
  <si>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</si>
  <si>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</si>
  <si>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</si>
  <si>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</si>
  <si>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</si>
  <si>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</si>
  <si>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</si>
  <si>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</si>
  <si>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</si>
  <si>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</si>
  <si>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</si>
  <si>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</si>
  <si>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</si>
  <si>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</si>
  <si>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</si>
  <si>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</si>
  <si>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</si>
  <si>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</si>
  <si>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</si>
  <si>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</si>
  <si>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</si>
  <si>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</si>
  <si>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</si>
  <si>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</si>
  <si>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</si>
  <si>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</si>
  <si>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</si>
  <si>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</si>
  <si>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</si>
  <si>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</si>
  <si>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</si>
  <si>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</si>
  <si>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</si>
  <si>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</si>
  <si>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</si>
  <si>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</si>
  <si>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</si>
  <si>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</si>
  <si>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</si>
  <si>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</si>
  <si>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</si>
  <si>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</si>
  <si>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</si>
  <si>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</si>
  <si>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</si>
  <si>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</si>
  <si>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</si>
  <si>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</si>
  <si>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</si>
  <si>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</si>
  <si>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</si>
  <si>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</si>
  <si>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</si>
  <si>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</si>
  <si>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</si>
  <si>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</si>
  <si>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</si>
  <si>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</si>
  <si>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</si>
  <si>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</si>
  <si>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</si>
  <si>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</si>
  <si>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</si>
  <si>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</si>
  <si>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</si>
  <si>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</si>
  <si>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</si>
  <si>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</si>
  <si>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</si>
  <si>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</si>
  <si>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</si>
  <si>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</si>
  <si>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</si>
  <si>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</si>
  <si>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</si>
  <si>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</si>
  <si>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</si>
  <si>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</si>
  <si>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</si>
  <si>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</si>
  <si>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</si>
  <si>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</si>
  <si>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</si>
  <si>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</si>
  <si>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</si>
  <si>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</si>
  <si>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</si>
  <si>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</si>
  <si>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</si>
  <si>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</si>
  <si>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</si>
  <si>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</si>
  <si>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</si>
  <si>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</si>
  <si>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</si>
  <si>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</si>
  <si>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</si>
  <si>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</si>
  <si>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</si>
  <si>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</si>
  <si>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</si>
  <si>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</si>
  <si>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</si>
  <si>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</si>
  <si>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</si>
  <si>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</si>
  <si>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</si>
  <si>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</si>
  <si>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</si>
  <si>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</si>
  <si>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</si>
  <si>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</si>
  <si>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</si>
  <si>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</si>
  <si>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</si>
  <si>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</si>
  <si>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</si>
  <si>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</si>
  <si>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</si>
  <si>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</si>
  <si>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</si>
  <si>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</si>
  <si>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</si>
  <si>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</si>
  <si>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</si>
  <si>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</si>
  <si>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</si>
  <si>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</si>
  <si>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</si>
  <si>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</si>
  <si>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</si>
  <si>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</si>
  <si>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</si>
  <si>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</si>
  <si>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</si>
  <si>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</si>
  <si>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</si>
  <si>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</si>
  <si>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</si>
  <si>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</si>
  <si>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</si>
  <si>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</si>
  <si>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</si>
  <si>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</si>
  <si>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</si>
  <si>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</si>
  <si>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</si>
  <si>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</si>
  <si>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</si>
  <si>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</si>
  <si>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</si>
  <si>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</si>
  <si>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</si>
  <si>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</si>
  <si>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</si>
  <si>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</si>
  <si>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</si>
  <si>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</si>
  <si>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</si>
  <si>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</si>
  <si>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</si>
  <si>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</si>
  <si>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</si>
  <si>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</si>
  <si>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</si>
  <si>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</si>
  <si>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</si>
  <si>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</si>
  <si>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</si>
  <si>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</si>
  <si>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</si>
  <si>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</si>
  <si>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</si>
  <si>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</si>
  <si>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</si>
  <si>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</si>
  <si>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</si>
  <si>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</si>
  <si>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</si>
  <si>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</si>
  <si>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</si>
  <si>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</si>
  <si>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</si>
  <si>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</si>
  <si>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</si>
  <si>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</si>
  <si>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</si>
  <si>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</si>
  <si>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</si>
  <si>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</si>
  <si>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</si>
  <si>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</si>
  <si>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</si>
  <si>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</si>
  <si>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</si>
  <si>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</si>
  <si>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</si>
  <si>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</si>
  <si>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</si>
  <si>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</si>
  <si>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</si>
  <si>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</si>
  <si>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</si>
  <si>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</si>
  <si>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</si>
  <si>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</si>
  <si>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</si>
  <si>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</si>
  <si>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</si>
  <si>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</si>
  <si>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</si>
  <si>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</si>
  <si>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</si>
  <si>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</si>
  <si>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</si>
  <si>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</si>
  <si>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</si>
  <si>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</si>
  <si>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</si>
  <si>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</si>
  <si>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</si>
  <si>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</si>
  <si>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</si>
  <si>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</si>
  <si>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</si>
  <si>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</si>
  <si>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</si>
  <si>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</si>
  <si>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</si>
  <si>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</si>
  <si>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</si>
  <si>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</si>
  <si>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</si>
  <si>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</si>
  <si>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</si>
  <si>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</si>
  <si>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</si>
  <si>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</si>
  <si>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</si>
  <si>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</si>
  <si>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</si>
  <si>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</si>
  <si>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</si>
  <si>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</si>
  <si>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</si>
  <si>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</si>
  <si>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</si>
  <si>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</si>
  <si>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</si>
  <si>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</si>
  <si>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</si>
  <si>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</si>
  <si>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</si>
  <si>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</si>
  <si>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</si>
  <si>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</si>
  <si>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</si>
  <si>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</si>
  <si>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</si>
  <si>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</si>
  <si>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</si>
  <si>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</si>
  <si>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</si>
  <si>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</si>
  <si>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</si>
  <si>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</si>
  <si>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</si>
  <si>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</si>
  <si>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</si>
  <si>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</si>
  <si>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</si>
  <si>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</si>
  <si>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</si>
  <si>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</si>
  <si>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</si>
  <si>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</si>
  <si>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</si>
  <si>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</si>
  <si>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</si>
  <si>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</si>
  <si>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</si>
  <si>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</si>
  <si>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</si>
  <si>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</si>
  <si>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</si>
  <si>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</si>
  <si>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</si>
  <si>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</si>
  <si>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</si>
  <si>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</si>
  <si>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</si>
  <si>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</si>
  <si>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</si>
  <si>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</si>
  <si>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</si>
  <si>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</si>
  <si>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</si>
  <si>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</si>
  <si>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</si>
  <si>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</si>
  <si>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</si>
  <si>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</si>
  <si>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</si>
  <si>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</si>
  <si>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</si>
  <si>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</si>
  <si>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</si>
  <si>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</si>
  <si>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</si>
  <si>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</si>
  <si>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</si>
  <si>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</si>
  <si>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</si>
  <si>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</si>
  <si>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</si>
  <si>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</si>
  <si>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</si>
  <si>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</si>
  <si>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</si>
  <si>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</si>
  <si>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</si>
  <si>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</si>
  <si>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</si>
  <si>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</si>
  <si>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</si>
  <si>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</si>
  <si>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</si>
  <si>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</si>
  <si>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</si>
  <si>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</si>
  <si>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</si>
  <si>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</si>
  <si>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</si>
  <si>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</si>
  <si>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</si>
  <si>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</si>
  <si>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</si>
  <si>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</si>
  <si>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</si>
  <si>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</si>
  <si>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</si>
  <si>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</si>
  <si>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</si>
  <si>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</si>
  <si>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</si>
  <si>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</si>
  <si>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</si>
  <si>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</si>
  <si>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</si>
  <si>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</si>
  <si>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</si>
  <si>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</si>
  <si>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</si>
  <si>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</si>
  <si>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</si>
  <si>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</si>
  <si>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</si>
  <si>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</si>
  <si>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</si>
  <si>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</si>
  <si>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</si>
  <si>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</si>
  <si>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</si>
  <si>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</si>
  <si>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</si>
  <si>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</si>
  <si>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</si>
  <si>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</si>
  <si>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</si>
  <si>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</si>
  <si>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</si>
  <si>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</si>
  <si>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</si>
  <si>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</si>
  <si>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</si>
  <si>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</si>
  <si>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</si>
  <si>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</si>
  <si>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</si>
  <si>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</si>
  <si>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</si>
  <si>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</si>
  <si>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</si>
  <si>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</si>
  <si>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</si>
  <si>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</si>
  <si>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</si>
  <si>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</si>
  <si>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</si>
  <si>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</si>
  <si>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</si>
  <si>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</si>
  <si>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</si>
  <si>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</si>
  <si>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</si>
  <si>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</si>
  <si>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</si>
  <si>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</si>
  <si>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</si>
  <si>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</si>
  <si>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</si>
  <si>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</si>
  <si>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</si>
  <si>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</si>
  <si>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</si>
  <si>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</si>
  <si>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</si>
  <si>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</si>
  <si>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</si>
  <si>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</si>
  <si>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</si>
  <si>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</si>
  <si>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</si>
  <si>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</si>
  <si>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</si>
  <si>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</si>
  <si>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</si>
  <si>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</si>
  <si>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</si>
  <si>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</si>
  <si>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</si>
  <si>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</si>
  <si>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</si>
  <si>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</si>
  <si>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</si>
  <si>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</si>
  <si>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</si>
  <si>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</si>
  <si>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</si>
  <si>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</si>
  <si>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</si>
  <si>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</si>
  <si>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</si>
  <si>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</si>
  <si>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</si>
  <si>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</si>
  <si>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</si>
  <si>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</si>
  <si>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</si>
  <si>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</si>
  <si>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</si>
  <si>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</si>
  <si>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</si>
  <si>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</si>
  <si>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</si>
  <si>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</si>
  <si>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</si>
  <si>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</si>
  <si>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</si>
  <si>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</si>
  <si>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</si>
  <si>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</si>
  <si>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</si>
  <si>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</si>
  <si>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</si>
  <si>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</si>
  <si>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</si>
  <si>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</si>
  <si>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</si>
  <si>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</si>
  <si>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</si>
  <si>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</si>
  <si>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</si>
  <si>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</si>
  <si>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</si>
  <si>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</si>
  <si>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</si>
  <si>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</si>
  <si>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</si>
  <si>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</si>
  <si>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</si>
  <si>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</si>
  <si>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</si>
  <si>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</si>
  <si>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</si>
  <si>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</si>
  <si>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</si>
  <si>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</si>
  <si>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</si>
  <si>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</si>
  <si>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</si>
  <si>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</si>
  <si>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</si>
  <si>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</si>
  <si>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</si>
  <si>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</si>
  <si>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</si>
  <si>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</si>
  <si>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</si>
  <si>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</si>
  <si>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</si>
  <si>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</si>
  <si>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</si>
  <si>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</si>
  <si>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</si>
  <si>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</si>
  <si>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</si>
  <si>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</si>
  <si>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</si>
  <si>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</si>
  <si>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</si>
  <si>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</si>
  <si>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</si>
  <si>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</si>
  <si>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</si>
  <si>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</si>
  <si>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</si>
  <si>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</si>
  <si>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</si>
  <si>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</si>
  <si>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</si>
  <si>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</si>
  <si>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</si>
  <si>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</si>
  <si>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</si>
  <si>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</si>
  <si>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</si>
  <si>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</si>
  <si>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</si>
  <si>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</si>
  <si>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</si>
  <si>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</si>
  <si>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</si>
  <si>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</si>
  <si>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</si>
  <si>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</si>
  <si>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</si>
  <si>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</si>
  <si>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</si>
  <si>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</si>
  <si>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</si>
  <si>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</si>
  <si>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</si>
  <si>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</si>
  <si>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</si>
  <si>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</si>
  <si>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</si>
  <si>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</si>
  <si>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</si>
  <si>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</si>
  <si>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</si>
  <si>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</si>
  <si>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</si>
  <si>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</si>
  <si>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</si>
  <si>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</si>
  <si>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</si>
  <si>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</si>
  <si>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</si>
  <si>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</si>
  <si>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</si>
  <si>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</si>
  <si>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</si>
  <si>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</si>
  <si>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</si>
  <si>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</si>
  <si>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</si>
  <si>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</si>
  <si>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</si>
  <si>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</si>
  <si>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</si>
  <si>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</si>
  <si>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</si>
  <si>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</si>
  <si>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</si>
  <si>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</si>
  <si>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</si>
  <si>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</si>
  <si>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</si>
  <si>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</si>
  <si>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</si>
  <si>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</si>
  <si>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</si>
  <si>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</si>
  <si>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</si>
  <si>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</si>
  <si>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</si>
  <si>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</si>
  <si>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</si>
  <si>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</si>
  <si>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</si>
  <si>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</si>
  <si>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</si>
  <si>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</si>
  <si>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</si>
  <si>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</si>
  <si>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</si>
  <si>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</si>
  <si>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</si>
  <si>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</si>
  <si>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</si>
  <si>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</si>
  <si>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</si>
  <si>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</si>
  <si>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</si>
  <si>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</si>
  <si>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</si>
  <si>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</si>
  <si>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</si>
  <si>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</si>
  <si>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</si>
  <si>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</si>
  <si>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</si>
  <si>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</si>
  <si>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</si>
  <si>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</si>
  <si>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</si>
  <si>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</si>
  <si>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</si>
  <si>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</si>
  <si>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</si>
  <si>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</si>
  <si>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</si>
  <si>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</si>
  <si>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</si>
  <si>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</si>
  <si>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</si>
  <si>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</si>
  <si>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</si>
  <si>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</si>
  <si>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</si>
  <si>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</si>
  <si>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</si>
  <si>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</si>
  <si>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</si>
  <si>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</si>
  <si>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</si>
  <si>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</si>
  <si>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</si>
  <si>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</si>
  <si>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</si>
  <si>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</si>
  <si>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</si>
  <si>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</si>
  <si>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</si>
  <si>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</si>
  <si>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</si>
  <si>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</si>
  <si>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</si>
  <si>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</si>
  <si>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</si>
  <si>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</si>
  <si>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</si>
  <si>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</si>
  <si>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</si>
  <si>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</si>
  <si>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</si>
  <si>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</si>
  <si>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</si>
  <si>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</si>
  <si>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</si>
  <si>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</si>
  <si>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</si>
  <si>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</si>
  <si>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</si>
  <si>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</si>
  <si>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</si>
  <si>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</si>
  <si>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</si>
  <si>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</si>
  <si>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</si>
  <si>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</si>
  <si>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</si>
  <si>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</si>
  <si>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</si>
  <si>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</si>
  <si>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</si>
  <si>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</si>
  <si>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</si>
  <si>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</si>
  <si>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</si>
  <si>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</si>
  <si>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</si>
  <si>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</si>
  <si>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</si>
  <si>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</si>
  <si>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</si>
  <si>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</si>
  <si>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</si>
  <si>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</si>
  <si>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</si>
  <si>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</si>
  <si>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</si>
  <si>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</si>
  <si>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</si>
  <si>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</si>
  <si>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</si>
  <si>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</si>
  <si>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</si>
  <si>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</si>
  <si>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</si>
  <si>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</si>
  <si>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</si>
  <si>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</si>
  <si>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</si>
  <si>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</si>
  <si>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</si>
  <si>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</si>
  <si>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</si>
  <si>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</si>
  <si>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</si>
  <si>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</si>
  <si>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</si>
  <si>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</si>
  <si>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</si>
  <si>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</si>
  <si>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</si>
  <si>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</si>
  <si>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</si>
  <si>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</si>
  <si>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</si>
  <si>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</si>
  <si>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</si>
  <si>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</si>
  <si>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</si>
  <si>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</si>
  <si>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</si>
  <si>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</si>
  <si>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</si>
  <si>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</si>
  <si>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</si>
  <si>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</si>
  <si>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</si>
  <si>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</si>
  <si>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</si>
  <si>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</si>
  <si>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</si>
  <si>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</si>
  <si>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</si>
  <si>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</si>
  <si>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</si>
  <si>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</si>
  <si>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</si>
  <si>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</si>
  <si>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</si>
  <si>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</si>
  <si>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</si>
  <si>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</si>
  <si>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</si>
  <si>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</si>
  <si>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</si>
  <si>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</si>
  <si>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</si>
  <si>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</si>
  <si>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</si>
  <si>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</si>
  <si>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</si>
  <si>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</si>
  <si>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</si>
  <si>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</si>
  <si>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</si>
  <si>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</si>
  <si>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</si>
  <si>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</si>
  <si>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</si>
  <si>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</si>
  <si>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</si>
  <si>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</si>
  <si>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</si>
  <si>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</si>
  <si>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</si>
  <si>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</si>
  <si>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</si>
  <si>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</si>
  <si>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</si>
  <si>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</si>
  <si>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</si>
  <si>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</si>
  <si>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</si>
  <si>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</si>
  <si>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</si>
  <si>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</si>
  <si>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</si>
  <si>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</si>
  <si>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</si>
  <si>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</si>
  <si>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</si>
  <si>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</si>
  <si>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</si>
  <si>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</si>
  <si>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</si>
  <si>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</si>
  <si>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</si>
  <si>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</si>
  <si>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</si>
  <si>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</si>
  <si>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</si>
  <si>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</si>
  <si>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</si>
  <si>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</si>
  <si>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</si>
  <si>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</si>
  <si>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</si>
  <si>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</si>
  <si>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</si>
  <si>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</si>
  <si>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</si>
  <si>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</si>
  <si>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</si>
  <si>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</si>
  <si>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</si>
  <si>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</si>
  <si>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</si>
  <si>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</si>
  <si>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</si>
  <si>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</si>
  <si>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</si>
  <si>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</si>
  <si>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</si>
  <si>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</si>
  <si>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</si>
  <si>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</si>
  <si>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</si>
  <si>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</si>
  <si>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</si>
  <si>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</si>
  <si>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</si>
  <si>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</si>
  <si>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</si>
  <si>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</si>
  <si>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</si>
  <si>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</si>
  <si>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</si>
  <si>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</si>
  <si>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</si>
  <si>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</si>
  <si>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</si>
  <si>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</si>
  <si>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</si>
  <si>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</si>
  <si>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</si>
  <si>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</si>
  <si>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</si>
  <si>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</si>
  <si>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</si>
  <si>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</si>
  <si>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</si>
  <si>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</si>
  <si>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</si>
  <si>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</si>
  <si>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</si>
  <si>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</si>
  <si>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</si>
  <si>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</si>
  <si>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</si>
  <si>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</si>
  <si>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</si>
  <si>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</si>
  <si>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</si>
  <si>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</si>
  <si>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</si>
  <si>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</si>
  <si>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</si>
  <si>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</si>
  <si>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</si>
  <si>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</si>
  <si>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</si>
  <si>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</si>
  <si>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</si>
  <si>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</si>
  <si>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</si>
  <si>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</si>
  <si>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</si>
  <si>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</si>
  <si>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</si>
  <si>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</si>
  <si>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</si>
  <si>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</si>
  <si>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</si>
  <si>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</si>
  <si>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</si>
  <si>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</si>
  <si>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</si>
  <si>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</si>
  <si>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</si>
  <si>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</si>
  <si>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</si>
  <si>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</si>
  <si>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</si>
  <si>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</si>
  <si>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</si>
  <si>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</si>
  <si>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</si>
  <si>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</si>
  <si>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</si>
  <si>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</si>
  <si>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</si>
  <si>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</si>
  <si>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</si>
  <si>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</si>
  <si>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</si>
  <si>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</si>
  <si>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</si>
  <si>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</si>
  <si>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</si>
  <si>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</si>
  <si>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</si>
  <si>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</si>
  <si>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</si>
  <si>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</si>
  <si>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</si>
  <si>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</si>
  <si>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</si>
  <si>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</si>
  <si>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</si>
  <si>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</si>
  <si>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</si>
  <si>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</si>
  <si>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</si>
  <si>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</si>
  <si>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</si>
  <si>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</si>
  <si>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</si>
  <si>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</si>
  <si>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</si>
  <si>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</si>
  <si>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</si>
  <si>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</si>
  <si>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</si>
  <si>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</si>
  <si>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</si>
  <si>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</si>
  <si>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</si>
  <si>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</si>
  <si>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</si>
  <si>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</si>
  <si>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</si>
  <si>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</si>
  <si>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</si>
  <si>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</si>
  <si>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</si>
  <si>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</si>
  <si>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</si>
  <si>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</si>
  <si>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</si>
  <si>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</si>
  <si>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</si>
  <si>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</si>
  <si>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</si>
  <si>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</si>
  <si>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</si>
  <si>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</si>
  <si>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</si>
  <si>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</si>
  <si>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</si>
  <si>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</si>
  <si>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</si>
  <si>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</si>
  <si>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</si>
  <si>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</si>
  <si>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</si>
  <si>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</si>
  <si>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</si>
  <si>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</si>
  <si>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</si>
  <si>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</si>
  <si>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</si>
  <si>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</si>
  <si>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</si>
  <si>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</si>
  <si>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</si>
  <si>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</si>
  <si>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</si>
  <si>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</si>
  <si>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</si>
  <si>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</si>
  <si>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</si>
  <si>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</si>
  <si>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</si>
  <si>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</si>
  <si>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</si>
  <si>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</si>
  <si>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</si>
  <si>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</si>
  <si>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</si>
  <si>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</si>
  <si>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</si>
  <si>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</si>
  <si>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</si>
  <si>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</si>
  <si>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</si>
  <si>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</si>
  <si>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</si>
  <si>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</si>
  <si>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</si>
  <si>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</si>
  <si>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</si>
  <si>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</si>
  <si>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</si>
  <si>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</si>
  <si>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</si>
  <si>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</si>
  <si>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</si>
  <si>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</si>
  <si>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</si>
  <si>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</si>
  <si>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</si>
  <si>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</si>
  <si>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</si>
  <si>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</si>
  <si>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</si>
  <si>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</si>
  <si>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</si>
  <si>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</si>
  <si>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</si>
  <si>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</si>
  <si>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</si>
  <si>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</si>
  <si>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</si>
  <si>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</si>
  <si>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</si>
  <si>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</si>
  <si>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</si>
  <si>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</si>
  <si>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</si>
  <si>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</si>
  <si>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</si>
  <si>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</si>
  <si>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</si>
  <si>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</si>
  <si>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</si>
  <si>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</si>
  <si>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</si>
  <si>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</si>
  <si>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</si>
  <si>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</si>
  <si>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</si>
  <si>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</si>
  <si>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</si>
  <si>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</si>
  <si>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</si>
  <si>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</si>
  <si>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</si>
  <si>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</si>
  <si>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</si>
  <si>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</si>
  <si>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</si>
  <si>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</si>
  <si>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</si>
  <si>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</si>
  <si>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</si>
  <si>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</si>
  <si>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</si>
  <si>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</si>
  <si>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</si>
  <si>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</si>
  <si>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</si>
  <si>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</si>
  <si>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</si>
  <si>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</si>
  <si>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</si>
  <si>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</si>
  <si>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</si>
  <si>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</si>
  <si>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</si>
  <si>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</si>
  <si>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</si>
  <si>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</si>
  <si>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</si>
  <si>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</si>
  <si>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</si>
  <si>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</si>
  <si>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</si>
  <si>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</si>
  <si>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</si>
  <si>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</si>
  <si>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</si>
  <si>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</si>
  <si>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</si>
  <si>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</si>
  <si>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</si>
  <si>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</si>
  <si>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</si>
  <si>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</si>
  <si>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</si>
  <si>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</si>
  <si>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</si>
  <si>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</si>
  <si>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</si>
  <si>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</si>
  <si>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</si>
  <si>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</si>
  <si>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</si>
  <si>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</si>
  <si>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</si>
  <si>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</si>
  <si>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</si>
  <si>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</si>
  <si>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</si>
  <si>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</si>
  <si>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</si>
  <si>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</si>
  <si>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</si>
  <si>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</si>
  <si>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</si>
  <si>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</si>
  <si>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</si>
  <si>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</si>
  <si>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</si>
  <si>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</si>
  <si>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</si>
  <si>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</si>
  <si>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</si>
  <si>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</si>
  <si>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</si>
  <si>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</si>
  <si>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</si>
  <si>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</si>
  <si>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</si>
  <si>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</si>
  <si>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</si>
  <si>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</si>
  <si>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</si>
  <si>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</si>
  <si>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</si>
  <si>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</si>
  <si>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</si>
  <si>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</si>
  <si>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</si>
  <si>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</si>
  <si>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</si>
  <si>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</si>
  <si>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</si>
  <si>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</si>
  <si>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</si>
  <si>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</si>
  <si>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</si>
  <si>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</si>
  <si>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</si>
  <si>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</si>
  <si>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</si>
  <si>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</si>
  <si>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</si>
  <si>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</si>
  <si>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</si>
  <si>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</si>
  <si>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</si>
  <si>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</si>
  <si>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</si>
  <si>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</si>
  <si>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</si>
  <si>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</si>
  <si>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</si>
  <si>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</si>
  <si>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</si>
  <si>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</si>
  <si>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</si>
  <si>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</si>
  <si>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</si>
  <si>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</si>
  <si>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</si>
  <si>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</si>
  <si>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</si>
  <si>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</si>
  <si>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</si>
  <si>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</si>
  <si>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</si>
  <si>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</si>
  <si>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</si>
  <si>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</si>
  <si>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</si>
  <si>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</si>
  <si>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</si>
  <si>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</si>
  <si>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</si>
  <si>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</si>
  <si>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</si>
  <si>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</si>
  <si>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</si>
  <si>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</si>
  <si>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</si>
  <si>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</si>
  <si>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</si>
  <si>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</si>
  <si>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</si>
  <si>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</si>
  <si>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</si>
  <si>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</si>
  <si>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</si>
  <si>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</si>
  <si>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</si>
  <si>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</si>
  <si>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</si>
  <si>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</si>
  <si>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</si>
  <si>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</si>
  <si>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</si>
  <si>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</si>
  <si>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</si>
  <si>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</si>
  <si>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</si>
  <si>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</si>
  <si>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</si>
  <si>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</si>
  <si>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</si>
  <si>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</si>
  <si>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</si>
  <si>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</si>
  <si>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</si>
  <si>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</si>
  <si>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</si>
  <si>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</si>
  <si>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</si>
  <si>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</si>
  <si>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</si>
  <si>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</si>
  <si>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</si>
  <si>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</si>
  <si>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</si>
  <si>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</si>
  <si>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</si>
  <si>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</si>
  <si>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</si>
  <si>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</si>
  <si>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</si>
  <si>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</si>
  <si>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</si>
  <si>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</si>
  <si>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</si>
  <si>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</si>
  <si>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</si>
  <si>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</si>
  <si>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</si>
  <si>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</si>
  <si>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</si>
  <si>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</si>
  <si>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</si>
  <si>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</si>
  <si>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</si>
  <si>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</si>
  <si>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</si>
  <si>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</si>
  <si>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</si>
  <si>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</si>
  <si>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</si>
  <si>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</si>
  <si>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</si>
  <si>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</si>
  <si>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</si>
  <si>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</si>
  <si>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</si>
  <si>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</si>
  <si>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</si>
  <si>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</si>
  <si>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</si>
  <si>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</si>
  <si>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</si>
  <si>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</si>
  <si>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</si>
  <si>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</si>
  <si>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</si>
  <si>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</si>
  <si>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</si>
  <si>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</si>
  <si>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</si>
  <si>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</si>
  <si>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</si>
  <si>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</si>
  <si>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</si>
  <si>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</si>
  <si>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</si>
  <si>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</si>
  <si>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</si>
  <si>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</si>
  <si>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</si>
  <si>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</si>
  <si>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</si>
  <si>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</si>
  <si>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</si>
  <si>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</si>
  <si>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</si>
  <si>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</si>
  <si>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</si>
  <si>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</si>
  <si>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</si>
  <si>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</si>
  <si>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</si>
  <si>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</si>
  <si>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</si>
  <si>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</si>
  <si>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</si>
  <si>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</si>
  <si>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</si>
  <si>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</si>
  <si>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</si>
  <si>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</si>
  <si>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</si>
  <si>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</si>
  <si>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</si>
  <si>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</si>
  <si>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</si>
  <si>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</si>
  <si>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</si>
  <si>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</si>
  <si>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</si>
  <si>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</si>
  <si>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</si>
  <si>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</si>
  <si>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</si>
  <si>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</si>
  <si>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</si>
  <si>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</si>
  <si>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</si>
  <si>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</si>
  <si>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</si>
  <si>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</si>
  <si>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</si>
  <si>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</si>
  <si>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</si>
  <si>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</si>
  <si>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</si>
  <si>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</si>
  <si>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</si>
  <si>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</si>
  <si>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</si>
  <si>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</si>
  <si>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</si>
  <si>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</si>
  <si>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</si>
  <si>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</si>
  <si>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</si>
  <si>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</si>
  <si>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</si>
  <si>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</si>
  <si>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</si>
  <si>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</si>
  <si>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</si>
  <si>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</si>
  <si>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</si>
  <si>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</si>
  <si>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</si>
  <si>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</si>
  <si>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</si>
  <si>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</si>
  <si>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</si>
  <si>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</si>
  <si>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</si>
  <si>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</si>
  <si>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</si>
  <si>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</si>
  <si>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</si>
  <si>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</si>
  <si>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</si>
  <si>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</si>
  <si>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</si>
  <si>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</si>
  <si>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</si>
  <si>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</si>
  <si>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</si>
  <si>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</si>
  <si>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</si>
  <si>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</si>
  <si>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</si>
  <si>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</si>
  <si>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</si>
  <si>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</si>
  <si>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</si>
  <si>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</si>
  <si>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</si>
  <si>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</si>
  <si>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</si>
  <si>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</si>
  <si>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</si>
  <si>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</si>
  <si>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</si>
  <si>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</si>
  <si>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</si>
  <si>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</si>
  <si>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</si>
  <si>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</si>
  <si>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</si>
  <si>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</si>
  <si>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</si>
  <si>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</si>
  <si>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</si>
  <si>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</si>
  <si>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</si>
  <si>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</si>
  <si>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</si>
  <si>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</si>
  <si>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</si>
  <si>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</si>
  <si>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</si>
  <si>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</si>
  <si>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</si>
  <si>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</si>
  <si>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</si>
  <si>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</si>
  <si>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</si>
  <si>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</si>
  <si>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</si>
  <si>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</si>
  <si>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</si>
  <si>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</si>
  <si>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</si>
  <si>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</si>
  <si>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</si>
  <si>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</si>
  <si>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</si>
  <si>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</si>
  <si>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</si>
  <si>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</si>
  <si>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</si>
  <si>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</si>
  <si>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</si>
  <si>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</si>
  <si>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</si>
  <si>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</si>
  <si>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</si>
  <si>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</si>
  <si>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</si>
  <si>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</si>
  <si>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</si>
  <si>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</si>
  <si>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</si>
  <si>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</si>
  <si>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</si>
  <si>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</si>
  <si>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</si>
  <si>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</si>
  <si>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</si>
  <si>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</si>
  <si>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</si>
  <si>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</si>
  <si>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</si>
  <si>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</si>
  <si>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</si>
  <si>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</si>
  <si>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</si>
  <si>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</si>
  <si>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</si>
  <si>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</si>
  <si>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</si>
  <si>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</si>
  <si>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</si>
  <si>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</si>
  <si>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</si>
  <si>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</si>
  <si>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</si>
  <si>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</si>
  <si>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</si>
  <si>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</si>
  <si>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</si>
  <si>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</si>
  <si>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</si>
  <si>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</si>
  <si>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</si>
  <si>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</si>
  <si>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</si>
  <si>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</si>
  <si>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</si>
  <si>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</si>
  <si>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</si>
  <si>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</si>
  <si>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</si>
  <si>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</si>
  <si>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</si>
  <si>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</si>
  <si>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</si>
  <si>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</si>
  <si>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</si>
  <si>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</si>
  <si>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</si>
  <si>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</si>
  <si>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</si>
  <si>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</si>
  <si>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</si>
  <si>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</si>
  <si>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</si>
  <si>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</si>
  <si>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</si>
  <si>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</si>
  <si>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</si>
  <si>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</si>
  <si>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</si>
  <si>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</si>
  <si>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</si>
  <si>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</si>
  <si>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</si>
  <si>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</si>
  <si>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</si>
  <si>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</si>
  <si>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</si>
  <si>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</si>
  <si>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</si>
  <si>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</si>
  <si>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</si>
  <si>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</si>
  <si>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</si>
  <si>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</si>
  <si>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</si>
  <si>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</si>
  <si>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</si>
  <si>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</si>
  <si>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</si>
  <si>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</si>
  <si>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</si>
  <si>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</si>
  <si>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</si>
  <si>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</si>
  <si>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</si>
  <si>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</si>
  <si>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</si>
  <si>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</si>
  <si>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</si>
  <si>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</si>
  <si>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</si>
  <si>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</si>
  <si>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</si>
  <si>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</si>
  <si>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</si>
  <si>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</si>
  <si>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</si>
  <si>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</si>
  <si>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</si>
  <si>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</si>
  <si>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</si>
  <si>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</si>
  <si>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</si>
  <si>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</si>
  <si>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</si>
  <si>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</si>
  <si>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</si>
  <si>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</si>
  <si>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</si>
  <si>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</si>
  <si>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</si>
  <si>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</si>
  <si>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</si>
  <si>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</si>
  <si>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</si>
  <si>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</si>
  <si>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</si>
  <si>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</si>
  <si>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</si>
  <si>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</si>
  <si>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</si>
  <si>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</si>
  <si>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</si>
  <si>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</si>
  <si>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</si>
  <si>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</si>
  <si>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</si>
  <si>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</si>
  <si>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</si>
  <si>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</si>
  <si>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</si>
  <si>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</si>
  <si>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</si>
  <si>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</si>
  <si>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</si>
  <si>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</si>
  <si>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</si>
  <si>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</si>
  <si>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</si>
  <si>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</si>
  <si>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</si>
  <si>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</si>
  <si>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</si>
  <si>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</si>
  <si>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</si>
  <si>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</si>
  <si>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</si>
  <si>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</si>
  <si>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</si>
  <si>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</si>
  <si>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</si>
  <si>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</si>
  <si>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</si>
  <si>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</si>
  <si>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</si>
  <si>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</si>
  <si>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</si>
  <si>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</si>
  <si>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</si>
  <si>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</si>
  <si>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</si>
  <si>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</si>
  <si>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</si>
  <si>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</si>
  <si>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</si>
  <si>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</si>
  <si>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</si>
  <si>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</si>
  <si>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</si>
  <si>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</si>
  <si>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</si>
  <si>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</si>
  <si>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</si>
  <si>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</si>
  <si>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</si>
  <si>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</si>
  <si>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</si>
  <si>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</si>
  <si>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</si>
  <si>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</si>
  <si>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</si>
  <si>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</si>
  <si>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</si>
  <si>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</si>
  <si>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</si>
  <si>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</si>
  <si>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</si>
  <si>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</si>
  <si>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</si>
  <si>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</si>
  <si>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</si>
  <si>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</si>
  <si>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</si>
  <si>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</si>
  <si>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</si>
  <si>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</si>
  <si>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</si>
  <si>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</si>
  <si>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</si>
  <si>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</si>
  <si>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</si>
  <si>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</si>
  <si>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</si>
  <si>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</si>
  <si>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</si>
  <si>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</si>
  <si>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</si>
  <si>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</si>
  <si>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</si>
  <si>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</si>
  <si>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</si>
  <si>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</si>
  <si>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</si>
  <si>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</si>
  <si>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</si>
  <si>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</si>
  <si>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</si>
  <si>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</si>
  <si>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</si>
  <si>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</si>
  <si>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</si>
  <si>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</si>
  <si>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</si>
  <si>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</si>
  <si>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</si>
  <si>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</si>
  <si>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</si>
  <si>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</si>
  <si>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</si>
  <si>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</si>
  <si>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</si>
  <si>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</si>
  <si>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</si>
  <si>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</si>
  <si>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</si>
  <si>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</si>
  <si>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</si>
  <si>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</si>
  <si>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</si>
  <si>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</si>
  <si>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</si>
  <si>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</si>
  <si>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</si>
  <si>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</si>
  <si>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</si>
  <si>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</si>
  <si>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</si>
  <si>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</si>
  <si>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</si>
  <si>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</si>
  <si>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</si>
  <si>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</si>
  <si>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</si>
  <si>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</si>
  <si>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</si>
  <si>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</si>
  <si>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</si>
  <si>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</si>
  <si>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</si>
  <si>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</si>
  <si>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</si>
  <si>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</si>
  <si>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</si>
  <si>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</si>
  <si>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</si>
  <si>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</si>
  <si>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</si>
  <si>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</si>
  <si>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</si>
  <si>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</si>
  <si>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</si>
  <si>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</si>
  <si>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</si>
  <si>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</si>
  <si>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</si>
  <si>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</si>
  <si>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</si>
  <si>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</si>
  <si>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</si>
  <si>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</si>
  <si>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</si>
  <si>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</si>
  <si>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</si>
  <si>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</si>
  <si>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</si>
  <si>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</si>
  <si>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</si>
  <si>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</si>
  <si>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</si>
  <si>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</si>
  <si>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</si>
  <si>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</si>
  <si>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</si>
  <si>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</si>
  <si>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</si>
  <si>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</si>
  <si>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</si>
  <si>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</si>
  <si>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</si>
  <si>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</si>
  <si>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</si>
  <si>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</si>
  <si>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</si>
  <si>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</si>
  <si>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</si>
  <si>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</si>
  <si>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</si>
  <si>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</si>
  <si>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</si>
  <si>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</si>
  <si>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</si>
  <si>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</si>
  <si>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</si>
  <si>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</si>
  <si>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</si>
  <si>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</si>
  <si>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</si>
  <si>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</si>
  <si>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</si>
  <si>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</si>
  <si>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</si>
  <si>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</si>
  <si>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</si>
  <si>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</si>
  <si>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</si>
  <si>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</si>
  <si>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</si>
  <si>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</si>
  <si>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</si>
  <si>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</si>
  <si>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</si>
  <si>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</si>
  <si>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</si>
  <si>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</si>
  <si>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</si>
  <si>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</si>
  <si>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</si>
  <si>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</si>
  <si>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</si>
  <si>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</si>
  <si>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</si>
  <si>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</si>
  <si>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</si>
  <si>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</si>
  <si>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</si>
  <si>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</si>
  <si>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</si>
  <si>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</si>
  <si>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</si>
  <si>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</si>
  <si>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</si>
  <si>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</si>
  <si>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</si>
  <si>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</si>
  <si>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</si>
  <si>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</si>
  <si>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</si>
  <si>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</si>
  <si>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</si>
  <si>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</si>
  <si>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</si>
  <si>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</si>
  <si>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</si>
  <si>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</si>
  <si>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</si>
  <si>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</si>
  <si>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</si>
  <si>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</si>
  <si>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</si>
  <si>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</si>
  <si>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</si>
  <si>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</si>
  <si>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</si>
  <si>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</si>
  <si>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</si>
  <si>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</si>
  <si>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</si>
  <si>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</si>
  <si>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</si>
  <si>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</si>
  <si>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</si>
  <si>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</si>
  <si>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</si>
  <si>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</si>
  <si>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</si>
  <si>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</si>
  <si>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</si>
  <si>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</si>
  <si>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</si>
  <si>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</si>
  <si>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</si>
  <si>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</si>
  <si>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</si>
  <si>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</si>
  <si>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</si>
  <si>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</si>
  <si>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</si>
  <si>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</si>
  <si>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</si>
  <si>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</si>
  <si>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</si>
  <si>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</si>
  <si>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</si>
  <si>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</si>
  <si>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</si>
  <si>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</si>
  <si>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</si>
  <si>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</si>
  <si>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</si>
  <si>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</si>
  <si>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</si>
  <si>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</si>
  <si>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</si>
  <si>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</si>
  <si>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</si>
  <si>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</si>
  <si>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</si>
  <si>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</si>
  <si>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</si>
  <si>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</si>
  <si>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</si>
  <si>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</si>
  <si>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</si>
  <si>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</si>
  <si>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</si>
  <si>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</si>
  <si>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</si>
  <si>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</si>
  <si>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</si>
  <si>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</si>
  <si>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</si>
  <si>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</si>
  <si>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</si>
  <si>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</si>
  <si>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</si>
  <si>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</si>
  <si>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</si>
  <si>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</si>
  <si>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</si>
  <si>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</si>
  <si>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</si>
  <si>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</si>
  <si>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</si>
  <si>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</si>
  <si>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</si>
  <si>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</si>
  <si>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</si>
  <si>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</si>
  <si>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</si>
  <si>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</si>
  <si>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</si>
  <si>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</si>
  <si>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</si>
  <si>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</si>
  <si>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</si>
  <si>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</si>
  <si>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</si>
  <si>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</si>
  <si>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</si>
  <si>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</si>
  <si>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</si>
  <si>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</si>
  <si>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</si>
  <si>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</si>
  <si>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</si>
  <si>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</si>
  <si>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</si>
  <si>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</si>
  <si>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</si>
  <si>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</si>
  <si>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</si>
  <si>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</si>
  <si>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</si>
  <si>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</si>
  <si>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</si>
  <si>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</si>
  <si>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</si>
  <si>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</si>
  <si>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</si>
  <si>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</si>
  <si>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</si>
  <si>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</si>
  <si>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</si>
  <si>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</si>
  <si>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</si>
  <si>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</si>
  <si>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</si>
  <si>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</si>
  <si>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</si>
  <si>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</si>
  <si>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</si>
  <si>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</si>
  <si>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</si>
  <si>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</si>
  <si>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</si>
  <si>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</si>
  <si>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</si>
  <si>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</si>
  <si>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</si>
  <si>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</si>
  <si>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</si>
  <si>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</si>
  <si>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</si>
  <si>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</si>
  <si>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</si>
  <si>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</si>
  <si>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</si>
  <si>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</si>
  <si>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</si>
  <si>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</si>
  <si>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</si>
  <si>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</si>
  <si>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</si>
  <si>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</si>
  <si>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</si>
  <si>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</si>
  <si>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</si>
  <si>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</si>
  <si>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</si>
  <si>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</si>
  <si>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</si>
  <si>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</si>
  <si>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</si>
  <si>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</si>
  <si>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</si>
  <si>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</si>
  <si>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</si>
  <si>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</si>
  <si>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</si>
  <si>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</si>
  <si>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</si>
  <si>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</si>
  <si>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</si>
  <si>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</si>
  <si>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</si>
  <si>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</si>
  <si>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</si>
  <si>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</si>
  <si>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</si>
  <si>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</si>
  <si>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</si>
  <si>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</si>
  <si>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</si>
  <si>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</si>
  <si>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</si>
  <si>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</si>
  <si>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</si>
  <si>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</si>
  <si>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</si>
  <si>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</si>
  <si>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</si>
  <si>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</si>
  <si>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</si>
  <si>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</si>
  <si>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</si>
  <si>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</si>
  <si>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</si>
  <si>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</si>
  <si>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</si>
  <si>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</si>
  <si>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</si>
  <si>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</si>
  <si>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</si>
  <si>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</si>
  <si>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</si>
  <si>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</si>
  <si>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</si>
  <si>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</si>
  <si>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</si>
  <si>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</si>
  <si>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</si>
  <si>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</si>
  <si>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</si>
  <si>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</si>
  <si>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</si>
  <si>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</si>
  <si>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</si>
  <si>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</si>
  <si>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</si>
  <si>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</si>
  <si>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</si>
  <si>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</si>
  <si>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</si>
  <si>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</si>
  <si>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</si>
  <si>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</si>
  <si>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</si>
  <si>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</si>
  <si>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</si>
  <si>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</si>
  <si>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</si>
  <si>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</si>
  <si>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</si>
  <si>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</si>
  <si>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</si>
  <si>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</si>
  <si>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</si>
  <si>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</si>
  <si>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</si>
  <si>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</si>
  <si>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</si>
  <si>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</si>
  <si>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</si>
  <si>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</si>
  <si>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</si>
  <si>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</si>
  <si>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</si>
  <si>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</si>
  <si>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</si>
  <si>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</si>
  <si>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</si>
  <si>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</si>
  <si>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</si>
  <si>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</si>
  <si>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</si>
  <si>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</si>
  <si>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</si>
  <si>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</si>
  <si>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</si>
  <si>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</si>
  <si>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</si>
  <si>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</si>
  <si>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</si>
  <si>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</si>
  <si>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</si>
  <si>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</si>
  <si>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</si>
  <si>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</si>
  <si>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</si>
  <si>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</si>
  <si>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</si>
  <si>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</si>
  <si>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</si>
  <si>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</si>
  <si>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</si>
  <si>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</si>
  <si>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</si>
  <si>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</si>
  <si>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</si>
  <si>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</si>
  <si>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</si>
  <si>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</si>
  <si>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</si>
  <si>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</si>
  <si>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</si>
  <si>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</si>
  <si>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</si>
  <si>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</si>
  <si>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</si>
  <si>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</si>
  <si>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</si>
  <si>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</si>
  <si>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</si>
  <si>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</si>
  <si>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</si>
  <si>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</si>
  <si>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</si>
  <si>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</si>
  <si>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</si>
  <si>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</si>
  <si>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</si>
  <si>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</si>
  <si>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</si>
  <si>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</si>
  <si>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</si>
  <si>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</si>
  <si>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</si>
  <si>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</si>
  <si>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</si>
  <si>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</si>
  <si>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</si>
  <si>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</si>
  <si>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</si>
  <si>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</si>
  <si>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</si>
  <si>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</si>
  <si>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</si>
  <si>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</si>
  <si>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</si>
  <si>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</si>
  <si>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</si>
  <si>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</si>
  <si>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</si>
  <si>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</si>
  <si>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</si>
  <si>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</si>
  <si>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</si>
  <si>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</si>
  <si>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</si>
  <si>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</si>
  <si>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</si>
  <si>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</si>
  <si>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</si>
  <si>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</si>
  <si>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</si>
  <si>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</si>
  <si>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</si>
  <si>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</si>
  <si>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</si>
  <si>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</si>
  <si>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</si>
  <si>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</si>
  <si>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</si>
  <si>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</si>
  <si>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</si>
  <si>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</si>
  <si>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</si>
  <si>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</si>
  <si>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</si>
  <si>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</si>
  <si>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</si>
  <si>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</si>
  <si>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</si>
  <si>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</si>
  <si>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</si>
  <si>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</si>
  <si>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</si>
  <si>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</si>
  <si>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</si>
  <si>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</si>
  <si>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</si>
  <si>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</si>
  <si>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</si>
  <si>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</si>
  <si>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</si>
  <si>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</si>
  <si>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</si>
  <si>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</si>
  <si>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</si>
  <si>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</si>
  <si>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</si>
  <si>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</si>
  <si>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</si>
  <si>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</si>
  <si>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</si>
  <si>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</si>
  <si>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</si>
  <si>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</si>
  <si>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</si>
  <si>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</si>
  <si>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</si>
  <si>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</si>
  <si>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</si>
  <si>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</si>
  <si>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</si>
  <si>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</si>
  <si>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</si>
  <si>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</si>
  <si>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</si>
  <si>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</si>
  <si>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</si>
  <si>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</si>
  <si>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</si>
  <si>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</si>
  <si>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</si>
  <si>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</si>
  <si>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</si>
  <si>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</si>
  <si>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</si>
  <si>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</si>
  <si>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</si>
  <si>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</si>
  <si>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</si>
  <si>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</si>
  <si>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</si>
  <si>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</si>
  <si>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</si>
  <si>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</si>
  <si>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</si>
  <si>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</si>
  <si>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</si>
  <si>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</si>
  <si>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</si>
  <si>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</si>
  <si>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</si>
  <si>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</si>
  <si>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</si>
  <si>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</si>
  <si>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</si>
  <si>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</si>
  <si>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</si>
  <si>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</si>
  <si>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</si>
  <si>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</si>
  <si>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</si>
  <si>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</si>
  <si>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</si>
  <si>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</si>
  <si>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</si>
  <si>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</si>
  <si>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</si>
  <si>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</si>
  <si>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</si>
  <si>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</si>
  <si>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</si>
  <si>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</si>
  <si>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</si>
  <si>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</si>
  <si>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</si>
  <si>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</si>
  <si>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</si>
  <si>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</si>
  <si>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</si>
  <si>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</si>
  <si>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</si>
  <si>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</si>
  <si>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</si>
  <si>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</si>
  <si>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</si>
  <si>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</si>
  <si>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</si>
  <si>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</si>
  <si>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</si>
  <si>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</si>
  <si>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</si>
  <si>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</si>
  <si>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</si>
  <si>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</si>
  <si>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</si>
  <si>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</si>
  <si>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</si>
  <si>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</si>
  <si>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</si>
  <si>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</si>
  <si>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</si>
  <si>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</si>
  <si>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</si>
  <si>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</si>
  <si>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</si>
  <si>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</si>
  <si>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</si>
  <si>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</si>
  <si>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</si>
  <si>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</si>
  <si>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</si>
  <si>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</si>
  <si>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</si>
  <si>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</si>
  <si>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</si>
  <si>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</si>
  <si>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</si>
  <si>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</si>
  <si>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</si>
  <si>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</si>
  <si>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</si>
  <si>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</si>
  <si>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</si>
  <si>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</si>
  <si>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</si>
  <si>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</si>
  <si>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</si>
  <si>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</si>
  <si>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</si>
  <si>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</si>
  <si>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</si>
  <si>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</si>
  <si>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</si>
  <si>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</si>
  <si>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</si>
  <si>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</si>
  <si>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</si>
  <si>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</si>
  <si>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</si>
  <si>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</si>
  <si>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</si>
  <si>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</si>
  <si>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</si>
  <si>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</si>
  <si>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</si>
  <si>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</si>
  <si>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</si>
  <si>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</si>
  <si>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</si>
  <si>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</si>
  <si>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</si>
  <si>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</si>
  <si>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</si>
  <si>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</si>
  <si>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</si>
  <si>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</si>
  <si>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</si>
  <si>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</si>
  <si>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</si>
  <si>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</si>
  <si>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</si>
  <si>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</si>
  <si>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</si>
  <si>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</si>
  <si>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</si>
  <si>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</si>
  <si>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</si>
  <si>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</si>
  <si>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</si>
  <si>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</si>
  <si>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</si>
  <si>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</si>
  <si>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</si>
  <si>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</si>
  <si>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</si>
  <si>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</si>
  <si>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</si>
  <si>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</si>
  <si>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</si>
  <si>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</si>
  <si>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</si>
  <si>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</si>
  <si>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</si>
  <si>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</si>
  <si>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</si>
  <si>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</si>
  <si>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</si>
  <si>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</si>
  <si>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</si>
  <si>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</si>
  <si>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</si>
  <si>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</si>
  <si>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</si>
  <si>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</si>
  <si>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</si>
  <si>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</si>
  <si>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</si>
  <si>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</si>
  <si>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</si>
  <si>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</si>
  <si>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</si>
  <si>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</si>
  <si>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</si>
  <si>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</si>
  <si>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</si>
  <si>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</si>
  <si>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</si>
  <si>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</si>
  <si>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</si>
  <si>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</si>
  <si>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</si>
  <si>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</si>
  <si>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</si>
  <si>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</si>
  <si>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</si>
  <si>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</si>
  <si>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</si>
  <si>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</si>
  <si>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</si>
  <si>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</si>
  <si>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</si>
  <si>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</si>
  <si>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</si>
  <si>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</si>
  <si>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</si>
  <si>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</si>
  <si>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</si>
  <si>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</si>
  <si>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</si>
  <si>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</si>
  <si>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</si>
  <si>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</si>
  <si>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</si>
  <si>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</si>
  <si>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</si>
  <si>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</si>
  <si>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</si>
  <si>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</si>
  <si>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</si>
  <si>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</si>
  <si>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</si>
  <si>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</si>
  <si>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</si>
  <si>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</si>
  <si>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</si>
  <si>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</si>
  <si>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</si>
  <si>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</si>
  <si>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</si>
  <si>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</si>
  <si>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</si>
  <si>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</si>
  <si>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</si>
  <si>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</si>
  <si>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</si>
  <si>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</si>
  <si>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</si>
  <si>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</si>
  <si>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</si>
  <si>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</si>
  <si>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</si>
  <si>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</si>
  <si>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</si>
  <si>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</si>
  <si>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</si>
  <si>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</si>
  <si>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</si>
  <si>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</si>
  <si>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</si>
  <si>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</si>
  <si>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</si>
  <si>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</si>
  <si>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</si>
  <si>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</si>
  <si>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</si>
  <si>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</si>
  <si>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</si>
  <si>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</si>
  <si>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</si>
  <si>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</si>
  <si>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</si>
  <si>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</si>
  <si>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</si>
  <si>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</si>
  <si>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</si>
  <si>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</si>
  <si>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</si>
  <si>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</si>
  <si>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</si>
  <si>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</si>
  <si>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</si>
  <si>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</si>
  <si>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</si>
  <si>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</si>
  <si>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</si>
  <si>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</si>
  <si>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</si>
  <si>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</si>
  <si>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</si>
  <si>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</si>
  <si>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</si>
  <si>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</si>
  <si>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</si>
  <si>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</si>
  <si>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</si>
  <si>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</si>
  <si>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</si>
  <si>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</si>
  <si>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</si>
  <si>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</si>
  <si>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</si>
  <si>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</si>
  <si>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</si>
  <si>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</si>
  <si>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</si>
  <si>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</si>
  <si>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</si>
  <si>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</si>
  <si>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</si>
  <si>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</si>
  <si>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</si>
  <si>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</si>
  <si>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</si>
  <si>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</si>
  <si>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</si>
  <si>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</si>
  <si>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</si>
  <si>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</si>
  <si>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</si>
  <si>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</si>
  <si>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</si>
  <si>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</si>
  <si>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</si>
  <si>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</si>
  <si>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</si>
  <si>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</si>
  <si>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</si>
  <si>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</si>
  <si>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</si>
  <si>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</si>
  <si>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</si>
  <si>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</si>
  <si>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</si>
  <si>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</si>
  <si>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</si>
  <si>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</si>
  <si>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</si>
  <si>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</si>
  <si>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</si>
  <si>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</si>
  <si>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</si>
  <si>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</si>
  <si>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</si>
  <si>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</si>
  <si>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</si>
  <si>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</si>
  <si>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</si>
  <si>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</si>
  <si>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</si>
  <si>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</si>
  <si>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</si>
  <si>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</si>
  <si>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</si>
  <si>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</si>
  <si>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</si>
  <si>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</si>
  <si>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</si>
  <si>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</si>
  <si>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</si>
  <si>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</si>
  <si>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</si>
  <si>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</si>
  <si>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</si>
  <si>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</si>
  <si>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</si>
  <si>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</si>
  <si>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</si>
  <si>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</si>
  <si>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</si>
  <si>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</si>
  <si>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</si>
  <si>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</si>
  <si>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</si>
  <si>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</si>
  <si>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</si>
  <si>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</si>
  <si>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</si>
  <si>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</si>
  <si>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</si>
  <si>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</si>
  <si>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</si>
  <si>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</si>
  <si>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</si>
  <si>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</si>
  <si>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</si>
  <si>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</si>
  <si>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</si>
  <si>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</si>
  <si>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</si>
  <si>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</si>
  <si>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</si>
  <si>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</si>
  <si>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</si>
  <si>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</si>
  <si>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</si>
  <si>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</si>
  <si>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</si>
  <si>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</si>
  <si>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</si>
  <si>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</si>
  <si>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</si>
  <si>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</si>
  <si>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</si>
  <si>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</si>
  <si>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</si>
  <si>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</si>
  <si>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</si>
  <si>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</si>
  <si>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</si>
  <si>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</si>
  <si>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</si>
  <si>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</si>
  <si>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</si>
  <si>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</si>
  <si>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</si>
  <si>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</si>
  <si>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</si>
  <si>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</si>
  <si>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</si>
  <si>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</si>
  <si>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</si>
  <si>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</si>
  <si>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</si>
  <si>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</si>
  <si>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</si>
  <si>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</si>
  <si>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</si>
  <si>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</si>
  <si>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</si>
  <si>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</si>
  <si>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</si>
  <si>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</si>
  <si>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</si>
  <si>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</si>
  <si>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</si>
  <si>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</si>
  <si>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</si>
  <si>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</si>
  <si>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</si>
  <si>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</si>
  <si>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</si>
  <si>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</si>
  <si>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</si>
  <si>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</si>
  <si>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</si>
  <si>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</si>
  <si>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</si>
  <si>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</si>
  <si>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</si>
  <si>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</si>
  <si>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</si>
  <si>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</si>
  <si>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</si>
  <si>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</si>
  <si>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</si>
  <si>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</si>
  <si>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</si>
  <si>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</si>
  <si>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</si>
  <si>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</si>
  <si>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</si>
  <si>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</si>
  <si>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</si>
  <si>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</si>
  <si>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</si>
  <si>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</si>
  <si>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</si>
  <si>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</si>
  <si>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</si>
  <si>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</si>
  <si>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</si>
  <si>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</si>
  <si>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</si>
  <si>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</si>
  <si>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</si>
  <si>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</si>
  <si>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</si>
  <si>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</si>
  <si>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</si>
  <si>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</si>
  <si>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</si>
  <si>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</si>
  <si>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</si>
  <si>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</si>
  <si>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</si>
  <si>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</si>
  <si>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</si>
  <si>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</si>
  <si>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</si>
  <si>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</si>
  <si>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</si>
  <si>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</si>
  <si>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</si>
  <si>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</si>
  <si>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</si>
  <si>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</si>
  <si>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</si>
  <si>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</si>
  <si>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</si>
  <si>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</si>
  <si>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</si>
  <si>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</si>
  <si>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</si>
  <si>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</si>
  <si>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</si>
  <si>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</si>
  <si>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</si>
  <si>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</si>
  <si>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</si>
  <si>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</si>
  <si>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</si>
  <si>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</si>
  <si>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</si>
  <si>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</si>
  <si>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</si>
  <si>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</si>
  <si>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</si>
  <si>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</si>
  <si>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</si>
  <si>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</si>
  <si>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</si>
  <si>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</si>
  <si>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</si>
  <si>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</si>
  <si>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</si>
  <si>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</si>
  <si>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</si>
  <si>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</si>
  <si>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</si>
  <si>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</si>
  <si>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</si>
  <si>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</si>
  <si>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</si>
  <si>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</si>
  <si>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</si>
  <si>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</si>
  <si>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</si>
  <si>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</si>
  <si>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</si>
  <si>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</si>
  <si>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</si>
  <si>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</si>
  <si>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</si>
  <si>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</si>
  <si>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</si>
  <si>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</si>
  <si>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</si>
  <si>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</si>
  <si>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</si>
  <si>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</si>
  <si>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</si>
  <si>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</si>
  <si>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</si>
  <si>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</si>
  <si>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</si>
  <si>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</si>
  <si>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</si>
  <si>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</si>
  <si>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</si>
  <si>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</si>
  <si>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</si>
  <si>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</si>
  <si>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</si>
  <si>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</si>
  <si>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</si>
  <si>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</si>
  <si>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</si>
  <si>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</si>
  <si>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</si>
  <si>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</si>
  <si>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</si>
  <si>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</si>
  <si>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</si>
  <si>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</si>
  <si>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</si>
  <si>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</si>
  <si>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</si>
  <si>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</si>
  <si>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</si>
  <si>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</si>
  <si>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</si>
  <si>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</si>
  <si>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</si>
  <si>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</si>
  <si>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</si>
  <si>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</si>
  <si>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</si>
  <si>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</si>
  <si>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</si>
  <si>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</si>
  <si>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</si>
  <si>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</si>
  <si>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</si>
  <si>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</si>
  <si>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</si>
  <si>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</si>
  <si>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</si>
  <si>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</si>
  <si>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</si>
  <si>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</si>
  <si>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</si>
  <si>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</si>
  <si>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</si>
  <si>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</si>
  <si>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</si>
  <si>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</si>
  <si>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</si>
  <si>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</si>
  <si>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</si>
  <si>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</si>
  <si>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</si>
  <si>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</si>
  <si>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</si>
  <si>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</si>
  <si>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</si>
  <si>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</si>
  <si>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</si>
  <si>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</si>
  <si>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</si>
  <si>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</si>
  <si>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</si>
  <si>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</si>
  <si>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</si>
  <si>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</si>
  <si>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</si>
  <si>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</si>
  <si>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</si>
  <si>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</si>
  <si>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</si>
  <si>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</si>
  <si>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</si>
  <si>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</si>
  <si>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</si>
  <si>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</si>
  <si>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</si>
  <si>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</si>
  <si>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</si>
  <si>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</si>
  <si>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</si>
  <si>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</si>
  <si>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</si>
  <si>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</si>
  <si>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</si>
  <si>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</si>
  <si>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</si>
  <si>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</si>
  <si>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</si>
  <si>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</si>
  <si>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</si>
  <si>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</si>
  <si>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</si>
  <si>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</si>
  <si>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</si>
  <si>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</si>
  <si>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</si>
  <si>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</si>
  <si>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</si>
  <si>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</si>
  <si>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</si>
  <si>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</si>
  <si>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</si>
  <si>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</si>
  <si>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</si>
  <si>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</si>
  <si>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</si>
  <si>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</si>
  <si>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</si>
  <si>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</si>
  <si>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</si>
  <si>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</si>
  <si>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</si>
  <si>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</si>
  <si>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</si>
  <si>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</si>
  <si>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</si>
  <si>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</si>
  <si>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</si>
  <si>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</si>
  <si>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</si>
  <si>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</si>
  <si>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</si>
  <si>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</si>
  <si>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</si>
  <si>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</si>
  <si>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</si>
  <si>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</si>
  <si>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</si>
  <si>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</si>
  <si>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</si>
  <si>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</si>
  <si>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</si>
  <si>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</si>
  <si>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</si>
  <si>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</si>
  <si>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</si>
  <si>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</si>
  <si>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</si>
  <si>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</si>
  <si>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</si>
  <si>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</si>
  <si>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</si>
  <si>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</si>
  <si>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</si>
  <si>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</si>
  <si>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</si>
  <si>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</si>
  <si>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</si>
  <si>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</si>
  <si>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</si>
  <si>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</si>
  <si>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</si>
  <si>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</si>
  <si>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</si>
  <si>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</si>
  <si>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</si>
  <si>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</si>
  <si>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</si>
  <si>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</si>
  <si>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</si>
  <si>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</si>
  <si>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</si>
  <si>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</si>
  <si>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</si>
  <si>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</si>
  <si>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</si>
  <si>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</si>
  <si>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</si>
  <si>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</si>
  <si>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</si>
  <si>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</si>
  <si>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</si>
  <si>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</si>
  <si>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</si>
  <si>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</si>
  <si>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</si>
  <si>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</si>
  <si>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</si>
  <si>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</si>
  <si>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</si>
  <si>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</si>
  <si>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</si>
  <si>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</si>
  <si>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</si>
  <si>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</si>
  <si>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</si>
  <si>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</si>
  <si>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</si>
  <si>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</si>
  <si>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</si>
  <si>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</si>
  <si>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</si>
  <si>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</si>
  <si>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</si>
  <si>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</si>
  <si>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</si>
  <si>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</si>
  <si>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</si>
  <si>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</si>
  <si>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</si>
  <si>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</si>
  <si>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</si>
  <si>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</si>
  <si>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</si>
  <si>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</si>
  <si>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</si>
  <si>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</si>
  <si>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</si>
  <si>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</si>
  <si>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</si>
  <si>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</si>
  <si>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</si>
  <si>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</si>
  <si>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</si>
  <si>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</si>
  <si>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</si>
  <si>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</si>
  <si>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</si>
  <si>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</si>
  <si>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</si>
  <si>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</si>
  <si>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</si>
  <si>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</si>
  <si>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</si>
  <si>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</si>
  <si>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</si>
  <si>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</si>
  <si>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</si>
  <si>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</si>
  <si>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</si>
  <si>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</si>
  <si>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</si>
  <si>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</si>
  <si>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</si>
  <si>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</si>
  <si>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</si>
  <si>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</si>
  <si>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</si>
  <si>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</si>
  <si>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</si>
  <si>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</si>
  <si>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</si>
  <si>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</si>
  <si>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</si>
  <si>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</si>
  <si>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</si>
  <si>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</si>
  <si>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</si>
  <si>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</si>
  <si>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</si>
  <si>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</si>
  <si>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</si>
  <si>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</si>
  <si>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</si>
  <si>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</si>
  <si>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</si>
  <si>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</si>
  <si>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</si>
  <si>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</si>
  <si>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</si>
  <si>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</si>
  <si>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</si>
  <si>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</si>
  <si>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</si>
  <si>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</si>
  <si>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</si>
  <si>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</si>
  <si>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</si>
  <si>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</si>
  <si>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</si>
  <si>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</si>
  <si>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</si>
  <si>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</si>
  <si>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</si>
  <si>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</si>
  <si>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</si>
  <si>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</si>
  <si>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</si>
  <si>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</si>
  <si>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</si>
  <si>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</si>
  <si>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</si>
  <si>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</si>
  <si>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</si>
  <si>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</si>
  <si>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</si>
  <si>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</si>
  <si>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</si>
  <si>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</si>
  <si>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</si>
  <si>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</si>
  <si>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</si>
  <si>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</si>
  <si>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</si>
  <si>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</si>
  <si>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</si>
  <si>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</si>
  <si>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</si>
  <si>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</si>
  <si>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</si>
  <si>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</si>
  <si>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</si>
  <si>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</si>
  <si>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</si>
  <si>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</si>
  <si>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</si>
  <si>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</si>
  <si>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</si>
  <si>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</si>
  <si>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</si>
  <si>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</si>
  <si>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</si>
  <si>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</si>
  <si>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</si>
  <si>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</si>
  <si>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</si>
  <si>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</si>
  <si>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</si>
  <si>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</si>
  <si>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</si>
  <si>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</si>
  <si>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</si>
  <si>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</si>
  <si>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</si>
  <si>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</si>
  <si>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</si>
  <si>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</si>
  <si>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</si>
  <si>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</si>
  <si>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</si>
  <si>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</si>
  <si>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</si>
  <si>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</si>
  <si>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</si>
  <si>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</si>
  <si>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</si>
  <si>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</si>
  <si>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</si>
  <si>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</si>
  <si>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</si>
  <si>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</si>
  <si>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</si>
  <si>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</si>
  <si>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</si>
  <si>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</si>
  <si>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</si>
  <si>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</si>
  <si>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</si>
  <si>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</si>
  <si>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</si>
  <si>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</si>
  <si>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</si>
  <si>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</si>
  <si>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</si>
  <si>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</si>
  <si>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</si>
  <si>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</si>
  <si>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</si>
  <si>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</si>
  <si>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</si>
  <si>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</si>
  <si>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</si>
  <si>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</si>
  <si>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</si>
  <si>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</si>
  <si>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</si>
  <si>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</si>
  <si>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</si>
  <si>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</si>
  <si>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</si>
  <si>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</si>
  <si>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</si>
  <si>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</si>
  <si>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</si>
  <si>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</si>
  <si>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</si>
  <si>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</si>
  <si>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</si>
  <si>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</si>
  <si>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</si>
  <si>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</si>
  <si>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</si>
  <si>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</si>
  <si>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</si>
  <si>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</si>
  <si>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</si>
  <si>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</si>
  <si>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</si>
  <si>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</si>
  <si>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</si>
  <si>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</si>
  <si>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</si>
  <si>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</si>
  <si>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</si>
  <si>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</si>
  <si>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</si>
  <si>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</si>
  <si>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</si>
  <si>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</si>
  <si>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</si>
  <si>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</si>
  <si>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</si>
  <si>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</si>
  <si>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</si>
  <si>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</si>
  <si>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</si>
  <si>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</si>
  <si>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</si>
  <si>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</si>
  <si>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</si>
  <si>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</si>
  <si>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</si>
  <si>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</si>
  <si>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</si>
  <si>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</si>
  <si>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</si>
  <si>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</si>
  <si>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</si>
  <si>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</si>
  <si>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</si>
  <si>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</si>
  <si>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</si>
  <si>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</si>
  <si>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</si>
  <si>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</si>
  <si>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</si>
  <si>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</si>
  <si>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</si>
  <si>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</si>
  <si>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</si>
  <si>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</si>
  <si>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</si>
  <si>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</si>
  <si>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</si>
  <si>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</si>
  <si>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</si>
  <si>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</si>
  <si>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</si>
  <si>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</si>
  <si>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</si>
  <si>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</si>
  <si>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</si>
  <si>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</si>
  <si>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</si>
  <si>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</si>
  <si>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</si>
  <si>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</si>
  <si>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</si>
  <si>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</si>
  <si>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</si>
  <si>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</si>
  <si>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</si>
  <si>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</si>
  <si>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</si>
  <si>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</si>
  <si>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</si>
  <si>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</si>
  <si>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</si>
  <si>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</si>
  <si>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</si>
  <si>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</si>
  <si>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</si>
  <si>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</si>
  <si>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</si>
  <si>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</si>
  <si>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</si>
  <si>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</si>
  <si>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</si>
  <si>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</si>
  <si>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</si>
  <si>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</si>
  <si>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</si>
  <si>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</si>
  <si>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</si>
  <si>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</si>
  <si>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</si>
  <si>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</si>
  <si>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</si>
  <si>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</si>
  <si>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</si>
  <si>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</si>
  <si>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</si>
  <si>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</si>
  <si>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</si>
  <si>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</si>
  <si>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</si>
  <si>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</si>
  <si>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</si>
  <si>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</si>
  <si>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</si>
  <si>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</si>
  <si>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</si>
  <si>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</si>
  <si>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</si>
  <si>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</si>
  <si>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</si>
  <si>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</si>
  <si>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</si>
  <si>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</si>
  <si>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</si>
  <si>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</si>
  <si>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</si>
  <si>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</si>
  <si>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</si>
  <si>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</si>
  <si>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</si>
  <si>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</si>
  <si>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</si>
  <si>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</si>
  <si>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</si>
  <si>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</si>
  <si>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</si>
  <si>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</si>
  <si>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</si>
  <si>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</si>
  <si>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</si>
  <si>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</si>
  <si>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</si>
  <si>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</si>
  <si>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</si>
  <si>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</si>
  <si>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</si>
  <si>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</si>
  <si>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</si>
  <si>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</si>
  <si>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</si>
  <si>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</si>
  <si>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</si>
  <si>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</si>
  <si>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</si>
  <si>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</si>
  <si>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</si>
  <si>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</si>
  <si>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</si>
  <si>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</si>
  <si>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</si>
  <si>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</si>
  <si>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</si>
  <si>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</si>
  <si>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</si>
  <si>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</si>
  <si>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</si>
  <si>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</si>
  <si>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</si>
  <si>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</si>
  <si>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</si>
  <si>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</si>
  <si>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</si>
  <si>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</si>
  <si>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</si>
  <si>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</si>
  <si>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</si>
  <si>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</si>
  <si>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</si>
  <si>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</si>
  <si>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</si>
  <si>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</si>
  <si>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</si>
  <si>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</si>
  <si>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</si>
  <si>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</si>
  <si>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</si>
  <si>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</si>
  <si>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</si>
  <si>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</si>
  <si>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</si>
  <si>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</si>
  <si>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</si>
  <si>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</si>
  <si>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</si>
  <si>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</si>
  <si>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</si>
  <si>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</si>
  <si>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</si>
  <si>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</si>
  <si>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</si>
  <si>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</si>
  <si>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</si>
  <si>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</si>
  <si>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</si>
  <si>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</si>
  <si>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</si>
  <si>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</si>
  <si>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</si>
  <si>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</si>
  <si>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</si>
  <si>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</si>
  <si>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</si>
  <si>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</si>
  <si>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</si>
  <si>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</si>
  <si>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</si>
  <si>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</si>
  <si>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</si>
  <si>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</si>
  <si>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</si>
  <si>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</si>
  <si>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</si>
  <si>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</si>
  <si>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</si>
  <si>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</si>
  <si>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</si>
  <si>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</si>
  <si>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</si>
  <si>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</si>
  <si>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</si>
  <si>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</si>
  <si>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</si>
  <si>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</si>
  <si>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</si>
  <si>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</si>
  <si>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</si>
  <si>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</si>
  <si>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</si>
  <si>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</si>
  <si>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</si>
  <si>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</si>
  <si>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</si>
  <si>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</si>
  <si>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</si>
  <si>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</si>
  <si>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</si>
  <si>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</si>
  <si>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</si>
  <si>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</si>
  <si>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</si>
  <si>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</si>
  <si>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</si>
  <si>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</si>
  <si>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</si>
  <si>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</si>
  <si>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</si>
  <si>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</si>
  <si>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</si>
  <si>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</si>
  <si>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</si>
  <si>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</si>
  <si>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</si>
  <si>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</si>
  <si>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</si>
  <si>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</si>
  <si>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</si>
  <si>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</si>
  <si>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</si>
  <si>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</si>
  <si>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</si>
  <si>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</si>
  <si>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</si>
  <si>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</si>
  <si>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</si>
  <si>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</si>
  <si>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</si>
  <si>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</si>
  <si>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</si>
  <si>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</si>
  <si>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</si>
  <si>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</si>
  <si>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</si>
  <si>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</si>
  <si>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</si>
  <si>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</si>
  <si>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</si>
  <si>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</si>
  <si>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</si>
  <si>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</si>
  <si>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</si>
  <si>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</si>
  <si>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</si>
  <si>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</si>
  <si>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</si>
  <si>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</si>
  <si>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</si>
  <si>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</si>
  <si>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</si>
  <si>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</si>
  <si>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</si>
  <si>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</si>
  <si>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</si>
  <si>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</si>
  <si>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</si>
  <si>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</si>
  <si>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</si>
  <si>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</si>
  <si>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</si>
  <si>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</si>
  <si>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</si>
  <si>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</si>
  <si>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</si>
  <si>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</si>
  <si>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</si>
  <si>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</si>
  <si>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</si>
  <si>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</si>
  <si>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</si>
  <si>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</si>
  <si>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</si>
  <si>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</si>
  <si>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</si>
  <si>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</si>
  <si>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</si>
  <si>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</si>
  <si>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</si>
  <si>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</si>
  <si>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</si>
  <si>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</si>
  <si>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</si>
  <si>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</si>
  <si>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</si>
  <si>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</si>
  <si>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</si>
  <si>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</si>
  <si>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</si>
  <si>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</si>
  <si>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</si>
  <si>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</si>
  <si>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</si>
  <si>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</si>
  <si>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</si>
  <si>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</si>
  <si>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</si>
  <si>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</si>
  <si>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</si>
  <si>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</si>
  <si>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</si>
  <si>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</si>
  <si>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</si>
  <si>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</si>
  <si>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</si>
  <si>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</si>
  <si>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</si>
  <si>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</si>
  <si>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</si>
  <si>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</si>
  <si>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</si>
  <si>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</si>
  <si>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</si>
  <si>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</si>
  <si>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</si>
  <si>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</si>
  <si>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</si>
  <si>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</si>
  <si>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</si>
  <si>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</si>
  <si>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</si>
  <si>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</si>
  <si>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</si>
  <si>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</si>
  <si>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</si>
  <si>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</si>
  <si>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</si>
  <si>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</si>
  <si>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</si>
  <si>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</si>
  <si>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</si>
  <si>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</si>
  <si>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</si>
  <si>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</si>
  <si>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</si>
  <si>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</si>
  <si>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</si>
  <si>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</si>
  <si>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</si>
  <si>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</si>
  <si>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</si>
  <si>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</si>
  <si>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</si>
  <si>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</si>
  <si>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</si>
  <si>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</si>
  <si>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</si>
  <si>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</si>
  <si>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</si>
  <si>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</si>
  <si>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</si>
  <si>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</si>
  <si>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</si>
  <si>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</si>
  <si>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</si>
  <si>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</si>
  <si>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</si>
  <si>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</si>
  <si>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</si>
  <si>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</si>
  <si>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</si>
  <si>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</si>
  <si>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</si>
  <si>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</si>
  <si>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</si>
  <si>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</si>
  <si>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</si>
  <si>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</si>
  <si>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</si>
  <si>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</si>
  <si>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</si>
  <si>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</si>
  <si>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</si>
  <si>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</si>
  <si>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</si>
  <si>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</si>
  <si>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</si>
  <si>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</si>
  <si>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</si>
  <si>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</si>
  <si>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</si>
  <si>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</si>
  <si>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</si>
  <si>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</si>
  <si>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</si>
  <si>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</si>
  <si>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</si>
  <si>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</si>
  <si>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</si>
  <si>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</si>
  <si>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</si>
  <si>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</si>
  <si>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</si>
  <si>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</si>
  <si>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</si>
  <si>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</si>
  <si>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</si>
  <si>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</si>
  <si>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</si>
  <si>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</si>
  <si>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</si>
  <si>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</si>
  <si>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</si>
  <si>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</si>
  <si>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</si>
  <si>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</si>
  <si>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</si>
  <si>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</si>
  <si>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</si>
  <si>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</si>
  <si>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</si>
  <si>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</si>
  <si>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</si>
  <si>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</si>
  <si>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</si>
  <si>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</si>
  <si>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</si>
  <si>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</si>
  <si>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</si>
  <si>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</si>
  <si>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</si>
  <si>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</si>
  <si>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</si>
  <si>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</si>
  <si>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</si>
  <si>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</si>
  <si>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</si>
  <si>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</si>
  <si>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</si>
  <si>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</si>
  <si>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</si>
  <si>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</si>
  <si>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</si>
  <si>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</si>
  <si>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</si>
  <si>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</si>
  <si>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</si>
  <si>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</si>
  <si>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</si>
  <si>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</si>
  <si>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</si>
  <si>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</si>
  <si>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</si>
  <si>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</si>
  <si>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</si>
  <si>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</si>
  <si>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</si>
  <si>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</si>
  <si>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</si>
  <si>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</si>
  <si>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</si>
  <si>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</si>
  <si>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</si>
  <si>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</si>
  <si>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</si>
  <si>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</si>
  <si>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</si>
  <si>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</si>
  <si>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</si>
  <si>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</si>
  <si>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</si>
  <si>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</si>
  <si>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</si>
  <si>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</si>
  <si>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</si>
  <si>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</si>
  <si>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</si>
  <si>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</si>
  <si>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</si>
  <si>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</si>
  <si>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</si>
  <si>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</si>
  <si>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</si>
  <si>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</si>
  <si>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</si>
  <si>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</si>
  <si>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</si>
  <si>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</si>
  <si>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</si>
  <si>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</si>
  <si>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</si>
  <si>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</si>
  <si>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</si>
  <si>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</si>
  <si>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</si>
  <si>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</si>
  <si>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</si>
  <si>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</si>
  <si>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</si>
  <si>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</si>
  <si>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</si>
  <si>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</si>
  <si>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</si>
  <si>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</si>
  <si>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</si>
  <si>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</si>
  <si>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</si>
  <si>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</si>
  <si>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</si>
  <si>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</si>
  <si>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</si>
  <si>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</si>
  <si>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</si>
  <si>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</si>
  <si>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</si>
  <si>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</si>
  <si>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</si>
  <si>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</si>
  <si>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</si>
  <si>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</si>
  <si>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</si>
  <si>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</si>
  <si>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</si>
  <si>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</si>
  <si>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</si>
  <si>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</si>
  <si>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</si>
  <si>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</si>
  <si>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</si>
  <si>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</si>
  <si>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</si>
  <si>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</si>
  <si>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</si>
  <si>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</si>
  <si>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</si>
  <si>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</si>
  <si>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</si>
  <si>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</si>
  <si>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</si>
  <si>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</si>
  <si>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</si>
  <si>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</si>
  <si>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</si>
  <si>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</si>
  <si>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</si>
  <si>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</si>
  <si>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</si>
  <si>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</si>
  <si>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</si>
  <si>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</si>
  <si>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</si>
  <si>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</si>
  <si>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</si>
  <si>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</si>
  <si>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</si>
  <si>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</si>
  <si>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</si>
  <si>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</si>
  <si>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</si>
  <si>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</si>
  <si>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</si>
  <si>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</si>
  <si>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</si>
  <si>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</si>
  <si>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</si>
  <si>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</si>
  <si>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</si>
  <si>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</si>
  <si>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</si>
  <si>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</si>
  <si>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</si>
  <si>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</si>
  <si>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</si>
  <si>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</si>
  <si>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</si>
  <si>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</si>
  <si>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</si>
  <si>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</si>
  <si>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</si>
  <si>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</si>
  <si>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</si>
  <si>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</si>
  <si>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</si>
  <si>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</si>
  <si>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</si>
  <si>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</si>
  <si>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</si>
  <si>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</si>
  <si>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</si>
  <si>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</si>
  <si>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</si>
  <si>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</si>
  <si>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</si>
  <si>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</si>
  <si>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</si>
  <si>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</si>
  <si>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</si>
  <si>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</si>
  <si>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</si>
  <si>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</si>
  <si>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</si>
  <si>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</si>
  <si>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</si>
  <si>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</si>
  <si>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</si>
  <si>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</si>
  <si>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</si>
  <si>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</si>
  <si>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</si>
  <si>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</si>
  <si>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</si>
  <si>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</si>
  <si>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</si>
  <si>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</si>
  <si>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</si>
  <si>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</si>
  <si>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</si>
  <si>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</si>
  <si>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</si>
  <si>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</si>
  <si>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</si>
  <si>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</si>
  <si>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</si>
  <si>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</si>
  <si>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</si>
  <si>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</si>
  <si>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</si>
  <si>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</si>
  <si>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</si>
  <si>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</si>
  <si>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</si>
  <si>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</si>
  <si>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</si>
  <si>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</si>
  <si>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</si>
  <si>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</si>
  <si>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</si>
  <si>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</si>
  <si>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</si>
  <si>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</si>
  <si>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</si>
  <si>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</si>
  <si>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</si>
  <si>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</si>
  <si>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</si>
  <si>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</si>
  <si>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</si>
  <si>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</si>
  <si>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</si>
  <si>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</si>
  <si>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</si>
  <si>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</si>
  <si>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</si>
  <si>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</si>
  <si>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</si>
  <si>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</si>
  <si>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</si>
  <si>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</si>
  <si>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</si>
  <si>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</si>
  <si>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</si>
  <si>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</si>
  <si>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</si>
  <si>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</si>
  <si>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</si>
  <si>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</si>
  <si>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</si>
  <si>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</si>
  <si>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</si>
  <si>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</si>
  <si>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</si>
  <si>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</si>
  <si>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</si>
  <si>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</si>
  <si>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</si>
  <si>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</si>
  <si>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</si>
  <si>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</si>
  <si>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</si>
  <si>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</si>
  <si>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</si>
  <si>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</si>
  <si>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</si>
  <si>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</si>
  <si>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</si>
  <si>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</si>
  <si>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</si>
  <si>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</si>
  <si>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</si>
  <si>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</si>
  <si>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</si>
  <si>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</si>
  <si>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</si>
  <si>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</si>
  <si>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</si>
  <si>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</si>
  <si>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</si>
  <si>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</si>
  <si>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</si>
  <si>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</si>
  <si>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</si>
  <si>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</si>
  <si>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</si>
  <si>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</si>
  <si>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</si>
  <si>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</si>
  <si>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</si>
  <si>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</si>
  <si>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</si>
  <si>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</si>
  <si>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</si>
  <si>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</si>
  <si>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</si>
  <si>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</si>
  <si>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</si>
  <si>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</si>
  <si>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</si>
  <si>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</si>
  <si>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</si>
  <si>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</si>
  <si>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</si>
  <si>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</si>
  <si>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</si>
  <si>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</si>
  <si>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</si>
  <si>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</si>
  <si>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</si>
  <si>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</si>
  <si>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</si>
  <si>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</si>
  <si>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</si>
  <si>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</si>
  <si>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</si>
  <si>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</si>
  <si>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</si>
  <si>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</si>
  <si>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</si>
  <si>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</si>
  <si>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</si>
  <si>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</si>
  <si>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</si>
  <si>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</si>
  <si>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</si>
  <si>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</si>
  <si>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</si>
  <si>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</si>
  <si>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</si>
  <si>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</si>
  <si>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</si>
  <si>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</si>
  <si>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</si>
  <si>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</si>
  <si>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</si>
  <si>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</si>
  <si>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</si>
  <si>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</si>
  <si>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</si>
  <si>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</si>
  <si>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</si>
  <si>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</si>
  <si>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</si>
  <si>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</si>
  <si>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</si>
  <si>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</si>
  <si>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</si>
  <si>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</si>
  <si>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</si>
  <si>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</si>
  <si>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</si>
  <si>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</si>
  <si>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</si>
  <si>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</si>
  <si>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</si>
  <si>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</si>
  <si>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</si>
  <si>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</si>
  <si>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</si>
  <si>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</si>
  <si>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</si>
  <si>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</si>
  <si>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</si>
  <si>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</si>
  <si>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</si>
  <si>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</si>
  <si>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</si>
  <si>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</si>
  <si>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</si>
  <si>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</si>
  <si>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</si>
  <si>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</si>
  <si>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</si>
  <si>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</si>
  <si>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</si>
  <si>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</si>
  <si>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</si>
  <si>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</si>
  <si>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</si>
  <si>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</si>
  <si>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</si>
  <si>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</si>
  <si>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</si>
  <si>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</si>
  <si>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</si>
  <si>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</si>
  <si>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</si>
  <si>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</si>
  <si>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</si>
  <si>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</si>
  <si>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</si>
  <si>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</si>
  <si>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</si>
  <si>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</si>
  <si>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</si>
  <si>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</si>
  <si>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</si>
  <si>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</si>
  <si>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</si>
  <si>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</si>
  <si>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</si>
  <si>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</si>
  <si>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</si>
  <si>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</si>
  <si>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</si>
  <si>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</si>
  <si>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</si>
  <si>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</si>
  <si>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</si>
  <si>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</si>
  <si>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</si>
  <si>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</si>
  <si>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</si>
  <si>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</si>
  <si>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</si>
  <si>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</si>
  <si>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</si>
  <si>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</si>
  <si>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</si>
  <si>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</si>
  <si>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</si>
  <si>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</si>
  <si>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</si>
  <si>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</si>
  <si>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</si>
  <si>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</si>
  <si>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</si>
  <si>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</si>
  <si>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</si>
  <si>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</si>
  <si>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</si>
  <si>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</si>
  <si>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</si>
  <si>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</si>
  <si>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</si>
  <si>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</si>
  <si>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</si>
  <si>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</si>
  <si>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</si>
  <si>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</si>
  <si>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</si>
  <si>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</si>
  <si>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</si>
  <si>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</si>
  <si>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</si>
  <si>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</si>
  <si>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</si>
  <si>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</si>
  <si>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</si>
  <si>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</si>
  <si>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</si>
  <si>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</si>
  <si>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</si>
  <si>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</si>
  <si>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</si>
  <si>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</si>
  <si>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</si>
  <si>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</si>
  <si>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</si>
  <si>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</si>
  <si>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</si>
  <si>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</si>
  <si>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</si>
  <si>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</si>
  <si>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</si>
  <si>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</si>
  <si>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</si>
  <si>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</si>
  <si>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</si>
  <si>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</si>
  <si>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</si>
  <si>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</si>
  <si>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</si>
  <si>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</si>
  <si>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</si>
  <si>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</si>
  <si>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</si>
  <si>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</si>
  <si>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</si>
  <si>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</si>
  <si>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</si>
  <si>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</si>
  <si>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</si>
  <si>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</si>
  <si>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</si>
  <si>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</si>
  <si>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</si>
  <si>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</si>
  <si>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</si>
  <si>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</si>
  <si>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</si>
  <si>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</si>
  <si>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</si>
  <si>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</si>
  <si>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</si>
  <si>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</si>
  <si>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</si>
  <si>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</si>
  <si>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</si>
  <si>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</si>
  <si>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</si>
  <si>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</si>
  <si>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</si>
  <si>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</si>
  <si>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</si>
  <si>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</si>
  <si>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</si>
  <si>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</si>
  <si>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</si>
  <si>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</si>
  <si>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</si>
  <si>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</si>
  <si>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</si>
  <si>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</si>
  <si>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</si>
  <si>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</si>
  <si>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</si>
  <si>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</si>
  <si>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</si>
  <si>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</si>
  <si>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</si>
  <si>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</si>
  <si>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</si>
  <si>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</si>
  <si>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</si>
  <si>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</si>
  <si>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</si>
  <si>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</si>
  <si>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</si>
  <si>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</si>
  <si>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</si>
  <si>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</si>
  <si>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</si>
  <si>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</si>
  <si>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</si>
  <si>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</si>
  <si>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</si>
  <si>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</si>
  <si>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</si>
  <si>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</si>
  <si>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</si>
  <si>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</si>
  <si>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</si>
  <si>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</si>
  <si>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</si>
  <si>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</si>
  <si>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</si>
  <si>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</si>
  <si>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</si>
  <si>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</si>
  <si>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</si>
  <si>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</si>
  <si>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</si>
  <si>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</si>
  <si>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</si>
  <si>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</si>
  <si>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</si>
  <si>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</si>
  <si>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</si>
  <si>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</si>
  <si>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</si>
  <si>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</si>
  <si>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</si>
  <si>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</si>
  <si>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</si>
  <si>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</si>
  <si>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</si>
  <si>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</si>
  <si>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</si>
  <si>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</si>
  <si>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</si>
  <si>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</si>
  <si>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</si>
  <si>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</si>
  <si>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</si>
  <si>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</si>
  <si>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</si>
  <si>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</si>
  <si>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</si>
  <si>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</si>
  <si>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</si>
  <si>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</si>
  <si>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</si>
  <si>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</si>
  <si>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</si>
  <si>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</si>
  <si>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</si>
  <si>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</si>
  <si>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</si>
  <si>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</si>
  <si>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</si>
  <si>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</si>
  <si>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</si>
  <si>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</si>
  <si>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</si>
  <si>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</si>
  <si>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</si>
  <si>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</si>
  <si>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</si>
  <si>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</si>
  <si>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</si>
  <si>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</si>
  <si>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</si>
  <si>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</si>
  <si>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</si>
  <si>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</si>
  <si>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</si>
  <si>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</si>
  <si>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</si>
  <si>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</si>
  <si>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</si>
  <si>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</si>
  <si>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</si>
  <si>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</si>
  <si>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</si>
  <si>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</si>
  <si>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</si>
  <si>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</si>
  <si>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</si>
  <si>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</si>
  <si>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</si>
  <si>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</si>
  <si>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</si>
  <si>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</si>
  <si>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</si>
  <si>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</si>
  <si>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</si>
  <si>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</si>
  <si>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</si>
  <si>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</si>
  <si>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</si>
  <si>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</si>
  <si>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</si>
  <si>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</si>
  <si>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</si>
  <si>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</si>
  <si>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</si>
  <si>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</si>
  <si>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</si>
  <si>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</si>
  <si>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</si>
  <si>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</si>
  <si>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</si>
  <si>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</si>
  <si>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</si>
  <si>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</si>
  <si>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</si>
  <si>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</si>
  <si>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</si>
  <si>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</si>
  <si>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</si>
  <si>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</si>
  <si>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</si>
  <si>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</si>
  <si>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</si>
  <si>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</si>
  <si>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</si>
  <si>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</si>
  <si>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</si>
  <si>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</si>
  <si>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</si>
  <si>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</si>
  <si>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</si>
  <si>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</si>
  <si>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</si>
  <si>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</si>
  <si>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</si>
  <si>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</si>
  <si>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</si>
  <si>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</si>
  <si>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</si>
  <si>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</si>
  <si>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</si>
  <si>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</si>
  <si>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</si>
  <si>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</si>
  <si>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</si>
  <si>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</si>
  <si>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</si>
  <si>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</si>
  <si>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</si>
  <si>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</si>
  <si>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</si>
  <si>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</si>
  <si>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</si>
  <si>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</si>
  <si>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</si>
  <si>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</si>
  <si>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</si>
  <si>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</si>
  <si>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</si>
  <si>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</si>
  <si>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</si>
  <si>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</si>
  <si>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</si>
  <si>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</si>
  <si>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</si>
  <si>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</si>
  <si>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</si>
  <si>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</si>
  <si>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</si>
  <si>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</si>
  <si>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</si>
  <si>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</si>
  <si>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</si>
  <si>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</si>
  <si>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</si>
  <si>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</si>
  <si>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</si>
  <si>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</si>
  <si>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</si>
  <si>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</si>
  <si>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</si>
  <si>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</si>
  <si>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</si>
  <si>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</si>
  <si>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</si>
  <si>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</si>
  <si>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</si>
  <si>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</si>
  <si>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</si>
  <si>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</si>
  <si>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</si>
  <si>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</si>
  <si>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</si>
  <si>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</si>
  <si>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</si>
  <si>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</si>
  <si>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</si>
  <si>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</si>
  <si>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</si>
  <si>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</si>
  <si>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</si>
  <si>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</si>
  <si>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</si>
  <si>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</si>
  <si>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</si>
  <si>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</si>
  <si>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</si>
  <si>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</si>
  <si>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</si>
  <si>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</si>
  <si>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</si>
  <si>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</si>
  <si>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</si>
  <si>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</si>
  <si>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</si>
  <si>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</si>
  <si>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</si>
  <si>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</si>
  <si>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</si>
  <si>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</si>
  <si>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</si>
  <si>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</si>
  <si>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</si>
  <si>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</si>
  <si>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</si>
  <si>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</si>
  <si>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</si>
  <si>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</si>
  <si>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</si>
  <si>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</si>
  <si>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</si>
  <si>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</si>
  <si>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</si>
  <si>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</si>
  <si>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</si>
  <si>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</si>
  <si>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</si>
  <si>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</si>
  <si>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</si>
  <si>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</si>
  <si>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</si>
  <si>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</si>
  <si>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</si>
  <si>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</si>
  <si>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</si>
  <si>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</si>
  <si>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</si>
  <si>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</si>
  <si>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</si>
  <si>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</si>
  <si>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</si>
  <si>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</si>
  <si>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</si>
  <si>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</si>
  <si>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</si>
  <si>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</si>
  <si>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</si>
  <si>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</si>
  <si>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</si>
  <si>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</si>
  <si>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</si>
  <si>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</si>
  <si>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</si>
  <si>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</si>
  <si>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</si>
  <si>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</si>
  <si>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</si>
  <si>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</si>
  <si>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</si>
  <si>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</si>
  <si>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</si>
  <si>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</si>
  <si>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</si>
  <si>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</si>
  <si>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</si>
  <si>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</si>
  <si>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</si>
  <si>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</si>
  <si>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</si>
  <si>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</si>
  <si>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</si>
  <si>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</si>
  <si>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</si>
  <si>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</si>
  <si>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</si>
  <si>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</si>
  <si>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</si>
  <si>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</si>
  <si>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</si>
  <si>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</si>
  <si>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</si>
  <si>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</si>
  <si>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</si>
  <si>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</si>
  <si>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</si>
  <si>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</si>
  <si>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</si>
  <si>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</si>
  <si>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</si>
  <si>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</si>
  <si>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</si>
  <si>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</si>
  <si>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</si>
  <si>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</si>
  <si>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</si>
  <si>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</si>
  <si>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</si>
  <si>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</si>
  <si>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</si>
  <si>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</si>
  <si>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</si>
  <si>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</si>
  <si>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</si>
  <si>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</si>
  <si>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</si>
  <si>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</si>
  <si>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</si>
  <si>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</si>
  <si>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</si>
  <si>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</si>
  <si>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</si>
  <si>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</si>
  <si>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</si>
  <si>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</si>
  <si>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</si>
  <si>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</si>
  <si>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</si>
  <si>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</si>
  <si>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</si>
  <si>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</si>
  <si>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</si>
  <si>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</si>
  <si>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</si>
  <si>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</si>
  <si>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</si>
  <si>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</si>
  <si>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</si>
  <si>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</si>
  <si>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</si>
  <si>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</si>
  <si>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</si>
  <si>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</si>
  <si>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</si>
  <si>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</si>
  <si>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</si>
  <si>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</si>
  <si>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</si>
  <si>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</si>
  <si>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</si>
  <si>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</si>
  <si>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</si>
  <si>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</si>
  <si>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</si>
  <si>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</si>
  <si>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</si>
  <si>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</si>
  <si>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</si>
  <si>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</si>
  <si>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</si>
  <si>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</si>
  <si>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</si>
  <si>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</si>
  <si>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</si>
  <si>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</si>
  <si>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</si>
  <si>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</si>
  <si>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</si>
  <si>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</si>
  <si>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</si>
  <si>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</si>
  <si>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</si>
  <si>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</si>
  <si>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</si>
  <si>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</si>
  <si>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</si>
  <si>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</si>
  <si>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</si>
  <si>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</si>
  <si>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</si>
  <si>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</si>
  <si>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</si>
  <si>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</si>
  <si>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</si>
  <si>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</si>
  <si>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</si>
  <si>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</si>
  <si>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</si>
  <si>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</si>
  <si>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</si>
  <si>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</si>
  <si>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</si>
  <si>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</si>
  <si>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</si>
  <si>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</si>
  <si>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</si>
  <si>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</si>
  <si>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</si>
  <si>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</si>
  <si>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</si>
  <si>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</si>
  <si>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</si>
  <si>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</si>
  <si>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</si>
  <si>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</si>
  <si>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</si>
  <si>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</si>
  <si>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</si>
  <si>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</si>
  <si>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</si>
  <si>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</si>
  <si>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</si>
  <si>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</si>
  <si>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</si>
  <si>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</si>
  <si>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</si>
  <si>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</si>
  <si>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</si>
  <si>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</si>
  <si>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</si>
  <si>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</si>
  <si>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</si>
  <si>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</si>
  <si>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</si>
  <si>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</si>
  <si>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</si>
  <si>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</si>
  <si>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</si>
  <si>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</si>
  <si>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</si>
  <si>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</si>
  <si>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</si>
  <si>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</si>
  <si>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</si>
  <si>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</si>
  <si>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</si>
  <si>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</si>
  <si>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</si>
  <si>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</si>
  <si>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</si>
  <si>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</si>
  <si>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</si>
  <si>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</si>
  <si>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</si>
  <si>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</si>
  <si>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</si>
  <si>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</si>
  <si>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</si>
  <si>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</si>
  <si>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</si>
  <si>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</si>
  <si>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</si>
  <si>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</si>
  <si>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</si>
  <si>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</si>
  <si>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</si>
  <si>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</si>
  <si>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</si>
  <si>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</si>
  <si>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</si>
  <si>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</si>
  <si>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</si>
  <si>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</si>
  <si>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</si>
  <si>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</si>
  <si>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</si>
  <si>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</si>
  <si>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</si>
  <si>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</si>
  <si>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</si>
  <si>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</si>
  <si>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</si>
  <si>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</si>
  <si>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</si>
  <si>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</si>
  <si>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</si>
  <si>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</si>
  <si>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</si>
  <si>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</si>
  <si>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</si>
  <si>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</si>
  <si>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</si>
  <si>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</si>
  <si>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</si>
  <si>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</si>
  <si>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</si>
  <si>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</si>
  <si>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</si>
  <si>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</si>
  <si>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</si>
  <si>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</si>
  <si>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</si>
  <si>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</si>
  <si>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</si>
  <si>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</si>
  <si>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</si>
  <si>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</si>
  <si>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</si>
  <si>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</si>
  <si>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</si>
  <si>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</si>
  <si>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</si>
  <si>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</si>
  <si>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</si>
  <si>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</si>
  <si>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</si>
  <si>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</si>
  <si>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</si>
  <si>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</si>
  <si>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</si>
  <si>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</si>
  <si>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</si>
  <si>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</si>
  <si>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</si>
  <si>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</si>
  <si>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</si>
  <si>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</si>
  <si>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</si>
  <si>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</si>
  <si>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</si>
  <si>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</si>
  <si>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</si>
  <si>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</si>
  <si>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</si>
  <si>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</si>
  <si>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</si>
  <si>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</si>
  <si>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</si>
  <si>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</si>
  <si>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</si>
  <si>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</si>
  <si>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</si>
  <si>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</si>
  <si>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</si>
  <si>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</si>
  <si>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</si>
  <si>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</si>
  <si>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</si>
  <si>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</si>
  <si>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</si>
  <si>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</si>
  <si>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</si>
  <si>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</si>
  <si>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</si>
  <si>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</si>
  <si>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</si>
  <si>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</si>
  <si>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</si>
  <si>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</si>
  <si>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</si>
  <si>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</si>
  <si>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</si>
  <si>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</si>
  <si>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</si>
  <si>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</si>
  <si>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</si>
  <si>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</si>
  <si>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</si>
  <si>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</si>
  <si>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</si>
  <si>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</si>
  <si>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</si>
  <si>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</si>
  <si>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</si>
  <si>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</si>
  <si>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</si>
  <si>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</si>
  <si>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</si>
  <si>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</si>
  <si>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</si>
  <si>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</si>
  <si>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</si>
  <si>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</si>
  <si>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</si>
  <si>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</si>
  <si>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</si>
  <si>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</si>
  <si>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</si>
  <si>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</si>
  <si>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</si>
  <si>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</si>
  <si>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</si>
  <si>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</si>
  <si>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</si>
  <si>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</si>
  <si>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</si>
  <si>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</si>
  <si>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</si>
  <si>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</si>
  <si>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</si>
  <si>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</si>
  <si>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</si>
  <si>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</si>
  <si>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</si>
  <si>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</si>
  <si>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</si>
  <si>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</si>
  <si>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</si>
  <si>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</si>
  <si>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</si>
  <si>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</si>
  <si>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</si>
  <si>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</si>
  <si>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</si>
  <si>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</si>
  <si>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</si>
  <si>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</si>
  <si>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</si>
  <si>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</si>
  <si>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</si>
  <si>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</si>
  <si>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</si>
  <si>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</si>
  <si>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</si>
  <si>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</si>
  <si>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</si>
  <si>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</si>
  <si>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</si>
  <si>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</si>
  <si>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</si>
  <si>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</si>
  <si>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</si>
  <si>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</si>
  <si>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</si>
  <si>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</si>
  <si>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</si>
  <si>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</si>
  <si>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</si>
  <si>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</si>
  <si>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</si>
  <si>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</si>
  <si>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</si>
  <si>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</si>
  <si>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</si>
  <si>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</si>
  <si>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</si>
  <si>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</si>
  <si>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</si>
  <si>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</si>
  <si>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</si>
  <si>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</si>
  <si>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</si>
  <si>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</si>
  <si>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</si>
  <si>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</si>
  <si>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</si>
  <si>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</si>
  <si>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</si>
  <si>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</si>
  <si>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</si>
  <si>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</si>
  <si>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</si>
  <si>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</si>
  <si>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</si>
  <si>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</si>
  <si>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</si>
  <si>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</si>
  <si>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</si>
  <si>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</si>
  <si>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</si>
  <si>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</si>
  <si>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</si>
  <si>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</si>
  <si>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</si>
  <si>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</si>
  <si>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</si>
  <si>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</si>
  <si>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</si>
  <si>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</si>
  <si>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</si>
  <si>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</si>
  <si>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</si>
  <si>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</si>
  <si>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</si>
  <si>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</si>
  <si>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</si>
  <si>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</si>
  <si>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</si>
  <si>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</si>
  <si>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</si>
  <si>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</si>
  <si>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</si>
  <si>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</si>
  <si>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</si>
  <si>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</si>
  <si>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</si>
  <si>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</si>
  <si>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</si>
  <si>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</si>
  <si>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</si>
  <si>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</si>
  <si>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</si>
  <si>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</si>
  <si>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</si>
  <si>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</si>
  <si>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</si>
  <si>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</si>
  <si>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</si>
  <si>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</si>
  <si>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</si>
  <si>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</si>
  <si>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</si>
  <si>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</si>
  <si>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</si>
  <si>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</si>
  <si>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</si>
  <si>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</si>
  <si>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</si>
  <si>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</si>
  <si>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</si>
  <si>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</si>
  <si>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</si>
  <si>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</si>
  <si>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</si>
  <si>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</si>
  <si>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</si>
  <si>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</si>
  <si>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</si>
  <si>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</si>
  <si>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</si>
  <si>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</si>
  <si>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</si>
  <si>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</si>
  <si>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</si>
  <si>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</si>
  <si>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</si>
  <si>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</si>
  <si>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</si>
  <si>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</si>
  <si>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</si>
  <si>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</si>
  <si>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</si>
  <si>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</si>
  <si>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</si>
  <si>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</si>
  <si>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</si>
  <si>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</si>
  <si>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</si>
  <si>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</si>
  <si>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</si>
  <si>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</si>
  <si>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</si>
  <si>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</si>
  <si>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</si>
  <si>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</si>
  <si>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</si>
  <si>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</si>
  <si>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</si>
  <si>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</si>
  <si>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</si>
  <si>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</si>
  <si>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</si>
  <si>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</si>
  <si>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</si>
  <si>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</si>
  <si>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</si>
  <si>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</si>
  <si>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</si>
  <si>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</si>
  <si>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</si>
  <si>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</si>
  <si>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</si>
  <si>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</si>
  <si>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</si>
  <si>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</si>
  <si>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</si>
  <si>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</si>
  <si>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</si>
  <si>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</si>
  <si>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</si>
  <si>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</si>
  <si>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</si>
  <si>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</si>
  <si>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</si>
  <si>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</si>
  <si>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</si>
  <si>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</si>
  <si>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</si>
  <si>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</si>
  <si>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</si>
  <si>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</si>
  <si>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</si>
  <si>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</si>
  <si>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</si>
  <si>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</si>
  <si>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</si>
  <si>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</si>
  <si>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</si>
  <si>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</si>
  <si>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</si>
  <si>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</si>
  <si>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</si>
  <si>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</si>
  <si>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</si>
  <si>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</si>
  <si>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</si>
  <si>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</si>
  <si>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</si>
  <si>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</si>
  <si>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</si>
  <si>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</si>
  <si>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</si>
  <si>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</si>
  <si>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</si>
  <si>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</si>
  <si>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</si>
  <si>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</si>
  <si>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</si>
  <si>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</si>
  <si>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</si>
  <si>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</si>
  <si>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</si>
  <si>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</si>
  <si>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</si>
  <si>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</si>
  <si>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</si>
  <si>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</si>
  <si>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</si>
  <si>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</si>
  <si>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</si>
  <si>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</si>
  <si>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</si>
  <si>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</si>
  <si>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</si>
  <si>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</si>
  <si>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</si>
  <si>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</si>
  <si>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</si>
  <si>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</si>
  <si>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</si>
  <si>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</si>
  <si>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</si>
  <si>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</si>
  <si>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</si>
  <si>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</si>
  <si>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</si>
  <si>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</si>
  <si>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</si>
  <si>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</si>
  <si>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</si>
  <si>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</si>
  <si>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</si>
  <si>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</si>
  <si>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</si>
  <si>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</si>
  <si>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</si>
  <si>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</si>
  <si>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</si>
  <si>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</si>
  <si>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</si>
  <si>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</si>
  <si>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</si>
  <si>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</si>
  <si>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</si>
  <si>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</si>
  <si>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</si>
  <si>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</si>
  <si>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</si>
  <si>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</si>
  <si>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</si>
  <si>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</si>
  <si>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</si>
  <si>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</si>
  <si>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</si>
  <si>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</si>
  <si>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</si>
  <si>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</si>
  <si>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</si>
  <si>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</si>
  <si>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</si>
  <si>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</si>
  <si>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</si>
  <si>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</si>
  <si>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</si>
  <si>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</si>
  <si>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</si>
  <si>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</si>
  <si>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</si>
  <si>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</si>
  <si>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</si>
  <si>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</si>
  <si>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</si>
  <si>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</si>
  <si>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</si>
  <si>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</si>
  <si>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</si>
  <si>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</si>
  <si>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</si>
  <si>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</si>
  <si>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</si>
  <si>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</si>
  <si>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</si>
  <si>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</si>
  <si>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</si>
  <si>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</si>
  <si>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</si>
  <si>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</si>
  <si>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</si>
  <si>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</si>
  <si>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</si>
  <si>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</si>
  <si>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</si>
  <si>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</si>
  <si>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</si>
  <si>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</si>
  <si>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</si>
  <si>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</si>
  <si>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</si>
  <si>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</si>
  <si>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</si>
  <si>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</si>
  <si>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</si>
  <si>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</si>
  <si>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</si>
  <si>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</si>
  <si>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</si>
  <si>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</si>
  <si>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</si>
  <si>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</si>
  <si>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</si>
  <si>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</si>
  <si>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</si>
  <si>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</si>
  <si>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</si>
  <si>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</si>
  <si>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</si>
  <si>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</si>
  <si>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</si>
  <si>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</si>
  <si>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</si>
  <si>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</si>
  <si>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</si>
  <si>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</si>
  <si>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</si>
  <si>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</si>
  <si>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</si>
  <si>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</si>
  <si>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</si>
  <si>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</si>
  <si>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</si>
  <si>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</si>
  <si>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</si>
  <si>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</si>
  <si>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</si>
  <si>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</si>
  <si>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</si>
  <si>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</si>
  <si>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</si>
  <si>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</si>
  <si>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</si>
  <si>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</si>
  <si>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</si>
  <si>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</si>
  <si>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</si>
  <si>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</si>
  <si>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</si>
  <si>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</si>
  <si>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</si>
  <si>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</si>
  <si>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</si>
  <si>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</si>
  <si>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</si>
  <si>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</si>
  <si>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</si>
  <si>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</si>
  <si>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</si>
  <si>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</si>
  <si>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</si>
  <si>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</si>
  <si>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</si>
  <si>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</si>
  <si>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</si>
  <si>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</si>
  <si>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</si>
  <si>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</si>
  <si>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</si>
  <si>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</si>
  <si>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</si>
  <si>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</si>
  <si>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</si>
  <si>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</si>
  <si>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</si>
  <si>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</si>
  <si>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</si>
  <si>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</si>
  <si>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</si>
  <si>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</si>
  <si>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</si>
  <si>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</si>
  <si>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</si>
  <si>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</si>
  <si>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</si>
  <si>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</si>
  <si>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</si>
  <si>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</si>
  <si>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</si>
  <si>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</si>
  <si>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</si>
  <si>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</si>
  <si>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</si>
  <si>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</si>
  <si>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</si>
  <si>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</si>
  <si>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</si>
  <si>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</si>
  <si>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</si>
  <si>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</si>
  <si>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</si>
  <si>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</si>
  <si>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</si>
  <si>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</si>
  <si>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</si>
  <si>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</si>
  <si>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</si>
  <si>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</si>
  <si>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</si>
  <si>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</si>
  <si>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</si>
  <si>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</si>
  <si>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</si>
  <si>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</si>
  <si>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</si>
  <si>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</si>
  <si>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</si>
  <si>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</si>
  <si>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</si>
  <si>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</si>
  <si>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</si>
  <si>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</si>
  <si>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</si>
  <si>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</si>
  <si>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</si>
  <si>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</si>
  <si>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</si>
  <si>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</si>
  <si>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</si>
  <si>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</si>
  <si>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</si>
  <si>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</si>
  <si>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</si>
  <si>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</si>
  <si>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</si>
  <si>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</si>
  <si>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</si>
  <si>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</si>
  <si>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</si>
  <si>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</si>
  <si>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</si>
  <si>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</si>
  <si>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</si>
  <si>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</si>
  <si>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</si>
  <si>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</si>
  <si>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</si>
  <si>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</si>
  <si>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</si>
  <si>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</si>
  <si>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</si>
  <si>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</si>
  <si>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</si>
  <si>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</si>
  <si>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</si>
  <si>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</si>
  <si>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</si>
  <si>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</si>
  <si>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</si>
  <si>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</si>
  <si>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</si>
  <si>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</si>
  <si>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</si>
  <si>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</si>
  <si>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</si>
  <si>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</si>
  <si>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</si>
  <si>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</si>
  <si>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</si>
  <si>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</si>
  <si>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</si>
  <si>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</si>
  <si>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</si>
  <si>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</si>
  <si>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</si>
  <si>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</si>
  <si>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</si>
  <si>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</si>
  <si>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</si>
  <si>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</si>
  <si>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</si>
  <si>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</si>
  <si>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</si>
  <si>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</si>
  <si>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</si>
  <si>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</si>
  <si>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</si>
  <si>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</si>
  <si>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</si>
  <si>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</si>
  <si>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</si>
  <si>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</si>
  <si>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</si>
  <si>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</si>
  <si>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</si>
  <si>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</si>
  <si>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</si>
  <si>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</si>
  <si>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</si>
  <si>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</si>
  <si>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</si>
  <si>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</si>
  <si>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</si>
  <si>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</si>
  <si>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</si>
  <si>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</si>
  <si>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</si>
  <si>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</si>
  <si>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</si>
  <si>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</si>
  <si>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</si>
  <si>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</si>
  <si>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</si>
  <si>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</si>
  <si>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</si>
  <si>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</si>
  <si>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</si>
  <si>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</si>
  <si>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</si>
  <si>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</si>
  <si>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</si>
  <si>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</si>
  <si>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</si>
  <si>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</si>
  <si>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</si>
  <si>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</si>
  <si>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</si>
  <si>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</si>
  <si>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</si>
  <si>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</si>
  <si>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</si>
  <si>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</si>
  <si>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</si>
  <si>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</si>
  <si>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</si>
  <si>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</si>
  <si>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</si>
  <si>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</si>
  <si>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</si>
  <si>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</si>
  <si>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</si>
  <si>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</si>
  <si>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</si>
  <si>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</si>
  <si>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</si>
  <si>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</si>
  <si>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</si>
  <si>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</si>
  <si>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</si>
  <si>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</si>
  <si>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</si>
  <si>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</si>
  <si>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</si>
  <si>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</si>
  <si>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</si>
  <si>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</si>
  <si>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</si>
  <si>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</si>
  <si>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</si>
  <si>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</si>
  <si>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</si>
  <si>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</si>
  <si>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</si>
  <si>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</si>
  <si>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</si>
  <si>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</si>
  <si>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</si>
  <si>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</si>
  <si>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</si>
  <si>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</si>
  <si>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</si>
  <si>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</si>
  <si>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</si>
  <si>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</si>
  <si>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</si>
  <si>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</si>
  <si>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</si>
  <si>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</si>
  <si>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</si>
  <si>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</si>
  <si>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</si>
  <si>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</si>
  <si>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</si>
  <si>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</si>
  <si>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</si>
  <si>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</si>
  <si>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</si>
  <si>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</si>
  <si>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</si>
  <si>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</si>
  <si>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</si>
  <si>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</si>
  <si>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</si>
  <si>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</si>
  <si>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</si>
  <si>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</si>
  <si>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</si>
  <si>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</si>
  <si>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</si>
  <si>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</si>
  <si>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</si>
  <si>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</si>
  <si>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</si>
  <si>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</si>
  <si>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</si>
  <si>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</si>
  <si>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</si>
  <si>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</si>
  <si>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</si>
  <si>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</si>
  <si>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</si>
  <si>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</si>
  <si>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</si>
  <si>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</si>
  <si>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</si>
  <si>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</si>
  <si>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</si>
  <si>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</si>
  <si>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</si>
  <si>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</si>
  <si>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</si>
  <si>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</si>
  <si>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</si>
  <si>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</si>
  <si>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</si>
  <si>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</si>
  <si>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</si>
  <si>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</si>
  <si>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</si>
  <si>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</si>
  <si>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</si>
  <si>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</si>
  <si>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</si>
  <si>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</si>
  <si>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</si>
  <si>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</si>
  <si>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</si>
  <si>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</si>
  <si>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</si>
  <si>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</si>
  <si>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</si>
  <si>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</si>
  <si>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</si>
  <si>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</si>
  <si>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</si>
  <si>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</si>
  <si>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</si>
  <si>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</si>
  <si>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</si>
  <si>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</si>
  <si>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</si>
  <si>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</si>
  <si>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</si>
  <si>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</si>
  <si>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</si>
  <si>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</si>
  <si>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</si>
  <si>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</si>
  <si>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</si>
  <si>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</si>
  <si>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</si>
  <si>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</si>
  <si>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</si>
  <si>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</si>
  <si>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</si>
  <si>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</si>
  <si>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</si>
  <si>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</si>
  <si>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</si>
  <si>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</si>
  <si>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</si>
  <si>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</si>
  <si>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</si>
  <si>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</si>
  <si>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</si>
  <si>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</si>
  <si>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</si>
  <si>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</si>
  <si>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</si>
  <si>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</si>
  <si>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</si>
  <si>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</si>
  <si>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</si>
  <si>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</si>
  <si>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</si>
  <si>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</si>
  <si>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</si>
  <si>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</si>
  <si>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</si>
  <si>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</si>
  <si>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</si>
  <si>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</si>
  <si>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</si>
  <si>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</si>
  <si>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</si>
  <si>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</si>
  <si>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</si>
  <si>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</si>
  <si>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</si>
  <si>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</si>
  <si>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</si>
  <si>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</si>
  <si>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</si>
  <si>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</si>
  <si>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</si>
  <si>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</si>
  <si>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</si>
  <si>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</si>
  <si>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</si>
  <si>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</si>
  <si>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</si>
  <si>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</si>
  <si>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</si>
  <si>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</si>
  <si>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</si>
  <si>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</si>
  <si>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</si>
  <si>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</si>
  <si>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</si>
  <si>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</si>
  <si>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</si>
  <si>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</si>
  <si>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</si>
  <si>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</si>
  <si>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</si>
  <si>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</si>
  <si>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</si>
  <si>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</si>
  <si>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</si>
  <si>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</si>
  <si>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</si>
  <si>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</si>
  <si>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</si>
  <si>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</si>
  <si>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</si>
  <si>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</si>
  <si>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</si>
  <si>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</si>
  <si>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</si>
  <si>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</si>
  <si>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</si>
  <si>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</si>
  <si>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</si>
  <si>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</si>
  <si>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</si>
  <si>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</si>
  <si>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</si>
  <si>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</si>
  <si>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</si>
  <si>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</si>
  <si>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</si>
  <si>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</si>
  <si>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</si>
  <si>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</si>
  <si>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</si>
  <si>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</si>
  <si>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</si>
  <si>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</si>
  <si>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</si>
  <si>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</si>
  <si>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</si>
  <si>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</si>
  <si>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</si>
  <si>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</si>
  <si>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</si>
  <si>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</si>
  <si>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</si>
  <si>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</si>
  <si>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</si>
  <si>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</si>
  <si>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</si>
  <si>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</si>
  <si>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</si>
  <si>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</si>
  <si>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</si>
  <si>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</si>
  <si>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</si>
  <si>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</si>
  <si>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</si>
  <si>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</si>
  <si>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</si>
  <si>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</si>
  <si>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</si>
  <si>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</si>
  <si>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</si>
  <si>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</si>
  <si>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</si>
  <si>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</si>
  <si>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</si>
  <si>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</si>
  <si>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</si>
  <si>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</si>
  <si>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</si>
  <si>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</si>
  <si>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</si>
  <si>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</si>
  <si>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</si>
  <si>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</si>
  <si>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</si>
  <si>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</si>
  <si>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</si>
  <si>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</si>
  <si>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</si>
  <si>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</si>
  <si>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</si>
  <si>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</si>
  <si>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</si>
  <si>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</si>
  <si>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</si>
  <si>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</si>
  <si>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</si>
  <si>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</si>
  <si>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</si>
  <si>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</si>
  <si>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</si>
  <si>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</si>
  <si>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</si>
  <si>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</si>
  <si>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</si>
  <si>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</si>
  <si>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</si>
  <si>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</si>
  <si>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</si>
  <si>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</si>
  <si>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</si>
  <si>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</si>
  <si>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</si>
  <si>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</si>
  <si>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</si>
  <si>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</si>
  <si>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</si>
  <si>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</si>
  <si>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</si>
  <si>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</si>
  <si>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</si>
  <si>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</si>
  <si>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</si>
  <si>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</si>
  <si>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</si>
  <si>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</si>
  <si>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</si>
  <si>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</si>
  <si>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</si>
  <si>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</si>
  <si>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</si>
  <si>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</si>
  <si>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</si>
  <si>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</si>
  <si>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</si>
  <si>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</si>
  <si>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</si>
  <si>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</si>
  <si>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</si>
  <si>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</si>
  <si>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</si>
  <si>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</si>
  <si>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</si>
  <si>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</si>
  <si>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</si>
  <si>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</si>
  <si>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</si>
  <si>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</si>
  <si>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</si>
  <si>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</si>
  <si>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</si>
  <si>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</si>
  <si>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</si>
  <si>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</si>
  <si>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</si>
  <si>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</si>
  <si>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</si>
  <si>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</si>
  <si>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</si>
  <si>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</si>
  <si>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</si>
  <si>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</si>
  <si>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</si>
  <si>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</si>
  <si>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</si>
  <si>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</si>
  <si>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</si>
  <si>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</si>
  <si>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</si>
  <si>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</si>
  <si>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</si>
  <si>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</si>
  <si>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</si>
  <si>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</si>
  <si>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</si>
  <si>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</si>
  <si>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</si>
  <si>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</si>
  <si>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</si>
  <si>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</si>
  <si>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</si>
  <si>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</si>
  <si>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</si>
  <si>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</si>
  <si>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</si>
  <si>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</si>
  <si>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</si>
  <si>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</si>
  <si>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</si>
  <si>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</si>
  <si>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</si>
  <si>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</si>
  <si>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</si>
  <si>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</si>
  <si>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</si>
  <si>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</si>
  <si>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</si>
  <si>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</si>
  <si>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</si>
  <si>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</si>
  <si>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</si>
  <si>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</si>
  <si>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</si>
  <si>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</si>
  <si>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</si>
  <si>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</si>
  <si>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</si>
  <si>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</si>
  <si>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</si>
  <si>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</si>
  <si>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</si>
  <si>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</si>
  <si>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</si>
  <si>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</si>
  <si>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</si>
  <si>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</si>
  <si>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</si>
  <si>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</si>
  <si>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</si>
  <si>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</si>
  <si>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</si>
  <si>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</si>
  <si>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</si>
  <si>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</si>
  <si>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</si>
  <si>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</si>
  <si>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</si>
  <si>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</si>
  <si>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</si>
  <si>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</si>
  <si>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</si>
  <si>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</si>
  <si>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</si>
  <si>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</si>
  <si>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</si>
  <si>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</si>
  <si>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</si>
  <si>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</si>
  <si>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</si>
  <si>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</si>
  <si>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</si>
  <si>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</si>
  <si>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</si>
  <si>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</si>
  <si>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</si>
  <si>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</si>
  <si>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</si>
  <si>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</si>
  <si>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</si>
  <si>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</si>
  <si>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</si>
  <si>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</si>
  <si>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</si>
  <si>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</si>
  <si>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</si>
  <si>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</si>
  <si>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</si>
  <si>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</si>
  <si>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</si>
  <si>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</si>
  <si>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</si>
  <si>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</si>
  <si>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</si>
  <si>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</si>
  <si>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</si>
  <si>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</si>
  <si>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</si>
  <si>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</si>
  <si>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</si>
  <si>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</si>
  <si>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</si>
  <si>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</si>
  <si>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</si>
  <si>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</si>
  <si>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</si>
  <si>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</si>
  <si>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</si>
  <si>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</si>
  <si>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</si>
  <si>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</si>
  <si>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</si>
  <si>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</si>
  <si>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</si>
  <si>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</si>
  <si>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</si>
  <si>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</si>
  <si>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</si>
  <si>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</si>
  <si>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</si>
  <si>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</si>
  <si>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</si>
  <si>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</si>
  <si>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</si>
  <si>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</si>
  <si>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</si>
  <si>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</si>
  <si>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</si>
  <si>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</si>
  <si>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</si>
  <si>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</si>
  <si>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</si>
  <si>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</si>
  <si>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</si>
  <si>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</si>
  <si>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</si>
  <si>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</si>
  <si>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</si>
  <si>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</si>
  <si>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</si>
  <si>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</si>
  <si>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</si>
  <si>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</si>
  <si>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</si>
  <si>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</si>
  <si>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</si>
  <si>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</si>
  <si>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</si>
  <si>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</si>
  <si>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</si>
  <si>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</si>
  <si>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</si>
  <si>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</si>
  <si>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</si>
  <si>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</si>
  <si>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</si>
  <si>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</si>
  <si>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</si>
  <si>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</si>
  <si>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</si>
  <si>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</si>
  <si>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</si>
  <si>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</si>
  <si>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</si>
  <si>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</si>
  <si>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</si>
  <si>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</si>
  <si>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</si>
  <si>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</si>
  <si>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</si>
  <si>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</si>
  <si>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</si>
  <si>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</si>
  <si>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</si>
  <si>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</si>
  <si>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</si>
  <si>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</si>
  <si>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</si>
  <si>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</si>
  <si>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</si>
  <si>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</si>
  <si>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</si>
  <si>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</si>
  <si>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</si>
  <si>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</si>
  <si>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</si>
  <si>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</si>
  <si>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</si>
  <si>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</si>
  <si>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</si>
  <si>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</si>
  <si>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</si>
  <si>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</si>
  <si>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</si>
  <si>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</si>
  <si>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</si>
  <si>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</si>
  <si>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</si>
  <si>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</si>
  <si>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</si>
  <si>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</si>
  <si>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</si>
  <si>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</si>
  <si>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</si>
  <si>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</si>
  <si>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</si>
  <si>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</si>
  <si>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</si>
  <si>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</si>
  <si>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</si>
  <si>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</si>
  <si>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</si>
  <si>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</si>
  <si>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</si>
  <si>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</si>
  <si>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</si>
  <si>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</si>
  <si>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</si>
  <si>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</si>
  <si>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</si>
  <si>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</si>
  <si>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</si>
  <si>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</si>
  <si>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</si>
  <si>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</si>
  <si>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</si>
  <si>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</si>
  <si>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</si>
  <si>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</si>
  <si>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</si>
  <si>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</si>
  <si>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</si>
  <si>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</si>
  <si>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</si>
  <si>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</si>
  <si>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</si>
  <si>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</si>
  <si>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</si>
  <si>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</si>
  <si>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</si>
  <si>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</si>
  <si>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</si>
  <si>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</si>
  <si>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</si>
  <si>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</si>
  <si>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</si>
  <si>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</si>
  <si>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</si>
  <si>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</si>
  <si>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</si>
  <si>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</si>
  <si>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</si>
  <si>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</si>
  <si>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</si>
  <si>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</si>
  <si>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</si>
  <si>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</si>
  <si>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</si>
  <si>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</si>
  <si>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</si>
  <si>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</si>
  <si>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</si>
  <si>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</si>
  <si>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</si>
  <si>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</si>
  <si>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</si>
  <si>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</si>
  <si>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</si>
  <si>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</si>
  <si>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</si>
  <si>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</si>
  <si>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</si>
  <si>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</si>
  <si>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</si>
  <si>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</si>
  <si>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</si>
  <si>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</si>
  <si>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</si>
  <si>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</si>
  <si>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</si>
  <si>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</si>
  <si>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</si>
  <si>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</si>
  <si>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</si>
  <si>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</si>
  <si>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</si>
  <si>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</si>
  <si>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</si>
  <si>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</si>
  <si>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</si>
  <si>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</si>
  <si>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</si>
  <si>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</si>
  <si>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</si>
  <si>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</si>
  <si>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</si>
  <si>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</si>
  <si>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</si>
  <si>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</si>
  <si>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</si>
  <si>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</si>
  <si>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</si>
  <si>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</si>
  <si>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</si>
  <si>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</si>
  <si>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</si>
  <si>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</si>
  <si>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</si>
  <si>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</si>
  <si>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</si>
  <si>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</si>
  <si>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</si>
  <si>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</si>
  <si>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</si>
  <si>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</si>
  <si>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</si>
  <si>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</si>
  <si>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</si>
  <si>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</si>
  <si>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</si>
  <si>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</si>
  <si>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</si>
  <si>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</si>
  <si>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</si>
  <si>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</si>
  <si>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</si>
  <si>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</si>
  <si>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</si>
  <si>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</si>
  <si>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</si>
  <si>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</si>
  <si>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</si>
  <si>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</si>
  <si>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</si>
  <si>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</si>
  <si>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</si>
  <si>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</si>
  <si>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</si>
  <si>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</si>
  <si>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</si>
  <si>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</si>
  <si>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</si>
  <si>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</si>
  <si>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</si>
  <si>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</si>
  <si>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</si>
  <si>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</si>
  <si>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</si>
  <si>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</si>
  <si>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</si>
  <si>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</si>
  <si>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</si>
  <si>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</si>
  <si>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</si>
  <si>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</si>
  <si>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</si>
  <si>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</si>
  <si>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</si>
  <si>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</si>
  <si>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</si>
  <si>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</si>
  <si>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</si>
  <si>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</si>
  <si>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</si>
  <si>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</si>
  <si>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</si>
  <si>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</si>
  <si>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</si>
  <si>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</si>
  <si>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</si>
  <si>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</si>
  <si>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</si>
  <si>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</si>
  <si>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</si>
  <si>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</si>
  <si>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</si>
  <si>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</si>
  <si>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</si>
  <si>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</si>
  <si>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</si>
  <si>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</si>
  <si>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</si>
  <si>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</si>
  <si>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</si>
  <si>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</si>
  <si>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</si>
  <si>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</si>
  <si>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</si>
  <si>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</si>
  <si>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</si>
  <si>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</si>
  <si>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</si>
  <si>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</si>
  <si>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</si>
  <si>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</si>
  <si>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</si>
  <si>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</si>
  <si>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</si>
  <si>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</si>
  <si>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</si>
  <si>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</si>
  <si>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</si>
  <si>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</si>
  <si>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</si>
  <si>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</si>
  <si>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</si>
  <si>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</si>
  <si>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</si>
  <si>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</si>
  <si>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</si>
  <si>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</si>
  <si>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</si>
  <si>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</si>
  <si>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</si>
  <si>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</si>
  <si>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</si>
  <si>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</si>
  <si>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</si>
  <si>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</si>
  <si>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</si>
  <si>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</si>
  <si>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</si>
  <si>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</si>
  <si>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</si>
  <si>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</si>
  <si>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</si>
  <si>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</si>
  <si>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</si>
  <si>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</si>
  <si>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</si>
  <si>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</si>
  <si>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</si>
  <si>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</si>
  <si>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</si>
  <si>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</si>
  <si>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</si>
  <si>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</si>
  <si>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</si>
  <si>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</si>
  <si>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</si>
  <si>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</si>
  <si>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</si>
  <si>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</si>
  <si>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</si>
  <si>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</si>
  <si>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</si>
  <si>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</si>
  <si>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</si>
  <si>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</si>
  <si>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</si>
  <si>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</si>
  <si>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</si>
  <si>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</si>
  <si>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</si>
  <si>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</si>
  <si>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</si>
  <si>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</si>
  <si>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</si>
  <si>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</si>
  <si>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</si>
  <si>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</si>
  <si>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</si>
  <si>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</si>
  <si>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</si>
  <si>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</si>
  <si>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</si>
  <si>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</si>
  <si>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</si>
  <si>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</si>
  <si>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</si>
  <si>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</si>
  <si>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</si>
  <si>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</si>
  <si>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</si>
  <si>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</si>
  <si>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</si>
  <si>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</si>
  <si>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</si>
  <si>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</si>
  <si>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</si>
  <si>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</si>
  <si>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</si>
  <si>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</si>
  <si>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</si>
  <si>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</si>
  <si>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</si>
  <si>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</si>
  <si>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</si>
  <si>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</si>
  <si>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</si>
  <si>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</si>
  <si>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</si>
  <si>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</si>
  <si>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</si>
  <si>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</si>
  <si>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</si>
  <si>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</si>
  <si>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</si>
  <si>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</si>
  <si>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</si>
  <si>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</si>
  <si>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</si>
  <si>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</si>
  <si>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</si>
  <si>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</si>
  <si>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</si>
  <si>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</si>
  <si>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</si>
  <si>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</si>
  <si>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</si>
  <si>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</si>
  <si>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</si>
  <si>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</si>
  <si>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</si>
  <si>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</si>
  <si>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</si>
  <si>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</si>
  <si>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</si>
  <si>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</si>
  <si>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</si>
  <si>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</si>
  <si>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</si>
  <si>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</si>
  <si>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</si>
  <si>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</si>
  <si>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</si>
  <si>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</si>
  <si>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</si>
  <si>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</si>
  <si>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</si>
  <si>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</si>
  <si>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</si>
  <si>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</si>
  <si>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</si>
  <si>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</si>
  <si>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</si>
  <si>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</si>
  <si>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</si>
  <si>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</si>
  <si>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</si>
  <si>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</si>
  <si>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</si>
  <si>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</si>
  <si>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</si>
  <si>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</si>
  <si>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</si>
  <si>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</si>
  <si>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</si>
  <si>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</si>
  <si>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</si>
  <si>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</si>
  <si>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</si>
  <si>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</si>
  <si>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</si>
  <si>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</si>
  <si>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</si>
  <si>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</si>
  <si>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</si>
  <si>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</si>
  <si>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</si>
  <si>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</si>
  <si>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</si>
  <si>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</si>
  <si>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</si>
  <si>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</si>
  <si>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</si>
  <si>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</si>
  <si>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</si>
  <si>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</si>
  <si>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</si>
  <si>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</si>
  <si>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</si>
  <si>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</si>
  <si>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</si>
  <si>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</si>
  <si>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</si>
  <si>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</si>
  <si>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</si>
  <si>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</si>
  <si>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</si>
  <si>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</si>
  <si>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</si>
  <si>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</si>
  <si>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</si>
  <si>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</si>
  <si>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</si>
  <si>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</si>
  <si>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</si>
  <si>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</si>
  <si>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</si>
  <si>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</si>
  <si>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</si>
  <si>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</si>
  <si>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</si>
  <si>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</si>
  <si>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</si>
  <si>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</si>
  <si>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</si>
  <si>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</si>
  <si>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</si>
  <si>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</si>
  <si>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</si>
  <si>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</si>
  <si>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</si>
  <si>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</si>
  <si>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</si>
  <si>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</si>
  <si>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</si>
  <si>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</si>
  <si>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</si>
  <si>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</si>
  <si>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</si>
  <si>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</si>
  <si>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</si>
  <si>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</si>
  <si>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</si>
  <si>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</si>
  <si>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</si>
  <si>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</si>
  <si>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</si>
  <si>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</si>
  <si>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</si>
  <si>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</si>
  <si>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</si>
  <si>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</si>
  <si>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</si>
  <si>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</si>
  <si>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</si>
  <si>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</si>
  <si>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</si>
  <si>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</si>
  <si>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</si>
  <si>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</si>
  <si>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</si>
  <si>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</si>
  <si>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</si>
  <si>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</si>
  <si>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</si>
  <si>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</si>
  <si>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</si>
  <si>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</si>
  <si>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</si>
  <si>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</si>
  <si>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</si>
  <si>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</si>
  <si>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</si>
  <si>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</si>
  <si>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</si>
  <si>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</si>
  <si>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</si>
  <si>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</si>
  <si>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</si>
  <si>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</si>
  <si>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</si>
  <si>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</si>
  <si>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</si>
  <si>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</si>
  <si>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</si>
  <si>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</si>
  <si>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</si>
  <si>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</si>
  <si>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</si>
  <si>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</si>
  <si>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</si>
  <si>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</si>
  <si>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</si>
  <si>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</si>
  <si>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</si>
  <si>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</si>
  <si>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</si>
  <si>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</si>
  <si>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</si>
  <si>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</si>
  <si>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</si>
  <si>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</si>
  <si>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</si>
  <si>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</si>
  <si>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</si>
  <si>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</si>
  <si>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</si>
  <si>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</si>
  <si>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</si>
  <si>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</si>
  <si>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</si>
  <si>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</si>
  <si>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</si>
  <si>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</si>
  <si>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</si>
  <si>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</si>
  <si>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</si>
  <si>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</si>
  <si>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</si>
  <si>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</si>
  <si>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</si>
  <si>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</si>
  <si>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</si>
  <si>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</si>
  <si>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</si>
  <si>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</si>
  <si>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</si>
  <si>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</si>
  <si>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</si>
  <si>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</si>
  <si>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</si>
  <si>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</si>
  <si>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</si>
  <si>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</si>
  <si>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</si>
  <si>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</si>
  <si>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</si>
  <si>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</si>
  <si>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</si>
  <si>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</si>
  <si>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</si>
  <si>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</si>
  <si>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</si>
  <si>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</si>
  <si>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</si>
  <si>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</si>
  <si>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</si>
  <si>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</si>
  <si>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</si>
  <si>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</si>
  <si>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</si>
  <si>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</si>
  <si>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</si>
  <si>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</si>
  <si>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</si>
  <si>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</si>
  <si>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</si>
  <si>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</si>
  <si>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</si>
  <si>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</si>
  <si>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</si>
  <si>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</si>
  <si>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</si>
  <si>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</si>
  <si>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</si>
  <si>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</si>
  <si>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</si>
  <si>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</si>
  <si>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</si>
  <si>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</si>
  <si>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</si>
  <si>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</si>
  <si>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</si>
  <si>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</si>
  <si>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</si>
  <si>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</si>
  <si>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</si>
  <si>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</si>
  <si>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</si>
  <si>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</si>
  <si>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</si>
  <si>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</si>
  <si>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</si>
  <si>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</si>
  <si>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</si>
  <si>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</si>
  <si>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</si>
  <si>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</si>
  <si>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</si>
  <si>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</si>
  <si>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</si>
  <si>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</si>
  <si>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</si>
  <si>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</si>
  <si>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</si>
  <si>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</si>
  <si>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</si>
  <si>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</si>
  <si>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</si>
  <si>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</si>
  <si>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</si>
  <si>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</si>
  <si>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</si>
  <si>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</si>
  <si>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</si>
  <si>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</si>
  <si>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</si>
  <si>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</si>
  <si>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</si>
  <si>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</si>
  <si>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</si>
  <si>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</si>
  <si>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</si>
  <si>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</si>
  <si>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</si>
  <si>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</si>
  <si>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</si>
  <si>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</si>
  <si>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</si>
  <si>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</si>
  <si>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</si>
  <si>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</si>
  <si>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</si>
  <si>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</si>
  <si>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</si>
  <si>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</si>
  <si>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</si>
  <si>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</si>
  <si>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</si>
  <si>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</si>
  <si>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</si>
  <si>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</si>
  <si>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</si>
  <si>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</si>
  <si>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</si>
  <si>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</si>
  <si>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</si>
  <si>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</si>
  <si>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</si>
  <si>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</si>
  <si>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</si>
  <si>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</si>
  <si>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</si>
  <si>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</si>
  <si>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</si>
  <si>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</si>
  <si>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</si>
  <si>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</si>
  <si>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</si>
  <si>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</si>
  <si>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</si>
  <si>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</si>
  <si>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</si>
  <si>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</si>
  <si>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</si>
  <si>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</si>
  <si>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</si>
  <si>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</si>
  <si>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</si>
  <si>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</si>
  <si>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</si>
  <si>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</si>
  <si>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</si>
  <si>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</si>
  <si>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</si>
  <si>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</si>
  <si>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</si>
  <si>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</si>
  <si>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</si>
  <si>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</si>
  <si>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</si>
  <si>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</si>
  <si>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</si>
  <si>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</si>
  <si>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</si>
  <si>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</si>
  <si>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</si>
  <si>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</si>
  <si>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</si>
  <si>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</si>
  <si>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</si>
  <si>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</si>
  <si>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</si>
  <si>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</si>
  <si>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</si>
  <si>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</si>
  <si>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</si>
  <si>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</si>
  <si>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</si>
  <si>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</si>
  <si>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</si>
  <si>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</si>
  <si>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</si>
  <si>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</si>
  <si>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</si>
  <si>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</si>
  <si>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</si>
  <si>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</si>
  <si>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</si>
  <si>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</si>
  <si>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</si>
  <si>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</si>
  <si>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</si>
  <si>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</si>
  <si>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</si>
  <si>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</si>
  <si>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</si>
  <si>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</si>
  <si>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</si>
  <si>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</si>
  <si>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</si>
  <si>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</si>
  <si>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</si>
  <si>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</si>
  <si>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</si>
  <si>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</si>
  <si>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</si>
  <si>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</si>
  <si>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</si>
  <si>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</si>
  <si>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</si>
  <si>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</si>
  <si>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</si>
  <si>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</si>
  <si>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</si>
  <si>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</si>
  <si>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</si>
  <si>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</si>
  <si>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</si>
  <si>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</si>
  <si>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</si>
  <si>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</si>
  <si>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</si>
  <si>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</si>
  <si>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</si>
  <si>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</si>
  <si>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</si>
  <si>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</si>
  <si>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</si>
  <si>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</si>
  <si>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</si>
  <si>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</si>
  <si>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</si>
  <si>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</si>
  <si>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</si>
  <si>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</si>
  <si>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</si>
  <si>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</si>
  <si>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</si>
  <si>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</si>
  <si>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</si>
  <si>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</si>
  <si>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</si>
  <si>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</si>
  <si>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</si>
  <si>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</si>
  <si>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</si>
  <si>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</si>
  <si>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</si>
  <si>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</si>
  <si>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</si>
  <si>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</si>
  <si>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</si>
  <si>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</si>
  <si>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</si>
  <si>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</si>
  <si>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</si>
  <si>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</si>
  <si>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</si>
  <si>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</si>
  <si>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</si>
  <si>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</si>
  <si>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</si>
  <si>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</si>
  <si>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</si>
  <si>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</si>
  <si>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</si>
  <si>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</si>
  <si>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</si>
  <si>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</si>
  <si>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</si>
  <si>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</si>
  <si>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</si>
  <si>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</si>
  <si>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</si>
  <si>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</si>
  <si>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</si>
  <si>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</si>
  <si>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</si>
  <si>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</si>
  <si>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</si>
  <si>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</si>
  <si>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</si>
  <si>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</si>
  <si>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</si>
  <si>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</si>
  <si>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</si>
  <si>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</si>
  <si>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</si>
  <si>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</si>
  <si>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</si>
  <si>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</si>
  <si>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</si>
  <si>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</si>
  <si>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</si>
  <si>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</si>
  <si>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</si>
  <si>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</si>
  <si>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</si>
  <si>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</si>
  <si>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</si>
  <si>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</si>
  <si>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</si>
  <si>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</si>
  <si>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</si>
  <si>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</si>
  <si>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</si>
  <si>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</si>
  <si>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</si>
  <si>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</si>
  <si>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</si>
  <si>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</si>
  <si>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</si>
  <si>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</si>
  <si>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</si>
  <si>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</si>
  <si>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</si>
  <si>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</si>
  <si>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</si>
  <si>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</si>
  <si>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</si>
  <si>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</si>
  <si>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</si>
  <si>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</si>
  <si>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</si>
  <si>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</si>
  <si>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</si>
  <si>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</si>
  <si>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</si>
  <si>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</si>
  <si>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</si>
  <si>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</si>
  <si>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</si>
  <si>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</si>
  <si>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</si>
  <si>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</si>
  <si>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</si>
  <si>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</si>
  <si>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</si>
  <si>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</si>
  <si>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</si>
  <si>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</si>
  <si>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</si>
  <si>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</si>
  <si>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</si>
  <si>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</si>
  <si>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</si>
  <si>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</si>
  <si>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</si>
  <si>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</si>
  <si>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</si>
  <si>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</si>
  <si>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</si>
  <si>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</si>
  <si>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</si>
  <si>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</si>
  <si>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</si>
  <si>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</si>
  <si>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</si>
  <si>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</si>
  <si>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</si>
  <si>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</si>
  <si>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</si>
  <si>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</si>
  <si>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</si>
  <si>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</si>
  <si>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</si>
  <si>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</si>
  <si>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</si>
  <si>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</si>
  <si>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</si>
  <si>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</si>
  <si>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</si>
  <si>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</si>
  <si>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</si>
  <si>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</si>
  <si>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</si>
  <si>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</si>
  <si>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</si>
  <si>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</si>
  <si>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</si>
  <si>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</si>
  <si>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</si>
  <si>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</si>
  <si>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</si>
  <si>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</si>
  <si>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</si>
  <si>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</si>
  <si>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</si>
  <si>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</si>
  <si>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</si>
  <si>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</si>
  <si>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</si>
  <si>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</si>
  <si>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</si>
  <si>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</si>
  <si>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</si>
  <si>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</si>
  <si>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</si>
  <si>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</si>
  <si>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</si>
  <si>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</si>
  <si>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</si>
  <si>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</si>
  <si>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</si>
  <si>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</si>
  <si>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</si>
  <si>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</si>
  <si>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</si>
  <si>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</si>
  <si>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</si>
  <si>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</si>
  <si>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</si>
  <si>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</si>
  <si>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</si>
  <si>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</si>
  <si>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</si>
  <si>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</si>
  <si>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</si>
  <si>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</si>
  <si>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</si>
  <si>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</si>
  <si>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</si>
  <si>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</si>
  <si>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</si>
  <si>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</si>
  <si>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</si>
  <si>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</si>
  <si>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</si>
  <si>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</si>
  <si>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</si>
  <si>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</si>
  <si>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</si>
  <si>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</si>
  <si>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</si>
  <si>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</si>
  <si>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</si>
  <si>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</si>
  <si>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</si>
  <si>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</si>
  <si>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</si>
  <si>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</si>
  <si>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</si>
  <si>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</si>
  <si>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</si>
  <si>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</si>
  <si>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</si>
  <si>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</si>
  <si>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</si>
  <si>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</si>
  <si>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</si>
  <si>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</si>
  <si>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</si>
  <si>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</si>
  <si>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</si>
  <si>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</si>
  <si>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</si>
  <si>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</si>
  <si>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</si>
  <si>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</si>
  <si>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</si>
  <si>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</si>
  <si>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</si>
  <si>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</si>
  <si>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</si>
  <si>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</si>
  <si>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</si>
  <si>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</si>
  <si>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</si>
  <si>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</si>
  <si>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</si>
  <si>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</si>
  <si>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</si>
  <si>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</si>
  <si>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</si>
  <si>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</si>
  <si>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</si>
  <si>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</si>
  <si>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</si>
  <si>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</si>
  <si>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</si>
  <si>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</si>
  <si>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</si>
  <si>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</si>
  <si>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</si>
  <si>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</si>
  <si>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</si>
  <si>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</si>
  <si>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</si>
  <si>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</si>
  <si>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</si>
  <si>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</si>
  <si>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</si>
  <si>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</si>
  <si>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</si>
  <si>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</si>
  <si>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</si>
  <si>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</si>
  <si>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</si>
  <si>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</si>
  <si>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</si>
  <si>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</si>
  <si>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</si>
  <si>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</si>
  <si>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</si>
  <si>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</si>
  <si>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</si>
  <si>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</si>
  <si>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</si>
  <si>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</si>
  <si>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</si>
  <si>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</si>
  <si>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</si>
  <si>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</si>
  <si>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</si>
  <si>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</si>
  <si>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</si>
  <si>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</si>
  <si>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</si>
  <si>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</si>
  <si>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</si>
  <si>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</si>
  <si>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</si>
  <si>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</si>
  <si>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</si>
  <si>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</si>
  <si>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</si>
  <si>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</si>
  <si>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</si>
  <si>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</si>
  <si>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</si>
  <si>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</si>
  <si>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</si>
  <si>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</si>
  <si>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</si>
  <si>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</si>
  <si>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</si>
  <si>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</si>
  <si>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</si>
  <si>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</si>
  <si>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</si>
  <si>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</si>
  <si>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</si>
  <si>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</si>
  <si>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</si>
  <si>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</si>
  <si>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</si>
  <si>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</si>
  <si>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</si>
  <si>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</si>
  <si>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</si>
  <si>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</si>
  <si>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</si>
  <si>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</si>
  <si>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</si>
  <si>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</si>
  <si>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</si>
  <si>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</si>
  <si>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</si>
  <si>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</si>
  <si>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</si>
  <si>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</si>
  <si>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</si>
  <si>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</si>
  <si>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</si>
  <si>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</si>
  <si>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</si>
  <si>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</si>
  <si>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</si>
  <si>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</si>
  <si>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</si>
  <si>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</si>
  <si>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</si>
  <si>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</si>
  <si>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</si>
  <si>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</si>
  <si>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</si>
  <si>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</si>
  <si>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</si>
  <si>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</si>
  <si>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</si>
  <si>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</si>
  <si>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</si>
  <si>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</si>
  <si>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</si>
  <si>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</si>
  <si>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</si>
  <si>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</si>
  <si>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</si>
  <si>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</si>
  <si>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</si>
  <si>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</si>
  <si>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</si>
  <si>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</si>
  <si>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</si>
  <si>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</si>
  <si>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</si>
  <si>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</si>
  <si>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</si>
  <si>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</si>
  <si>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</si>
  <si>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</si>
  <si>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</si>
  <si>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</si>
  <si>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</si>
  <si>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</si>
  <si>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</si>
  <si>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</si>
  <si>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</si>
  <si>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</si>
  <si>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</si>
  <si>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</si>
  <si>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</si>
  <si>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</si>
  <si>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</si>
  <si>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</si>
  <si>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</si>
  <si>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</si>
  <si>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</si>
  <si>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</si>
  <si>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</si>
  <si>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</si>
  <si>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</si>
  <si>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</si>
  <si>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</si>
  <si>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</si>
  <si>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</si>
  <si>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</si>
  <si>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</si>
  <si>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</si>
  <si>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</si>
  <si>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</si>
  <si>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</si>
  <si>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</si>
  <si>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</si>
  <si>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</si>
  <si>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</si>
  <si>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</si>
  <si>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</si>
  <si>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</si>
  <si>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</si>
  <si>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</si>
  <si>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</si>
  <si>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</si>
  <si>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</si>
  <si>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</si>
  <si>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</si>
  <si>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</si>
  <si>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</si>
  <si>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</si>
  <si>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</si>
  <si>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</si>
  <si>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</si>
  <si>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</si>
  <si>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</si>
  <si>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</si>
  <si>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</si>
  <si>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</si>
  <si>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</si>
  <si>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</si>
  <si>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</si>
  <si>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</si>
  <si>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</si>
  <si>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</si>
  <si>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</si>
  <si>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</si>
  <si>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</si>
  <si>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</si>
  <si>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</si>
  <si>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</si>
  <si>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</si>
  <si>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</si>
  <si>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</si>
  <si>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</si>
  <si>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</si>
  <si>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</si>
  <si>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</si>
  <si>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</si>
  <si>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</si>
  <si>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</si>
  <si>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</si>
  <si>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</si>
  <si>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</si>
  <si>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</si>
  <si>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</si>
  <si>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</si>
  <si>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</si>
  <si>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</si>
  <si>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</si>
  <si>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</si>
  <si>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</si>
  <si>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</si>
  <si>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</si>
  <si>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</si>
  <si>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</si>
  <si>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</si>
  <si>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</si>
  <si>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</si>
  <si>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</si>
  <si>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</si>
  <si>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</si>
  <si>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</si>
  <si>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</si>
  <si>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</si>
  <si>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</si>
  <si>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</si>
  <si>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</si>
  <si>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</si>
  <si>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</si>
  <si>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</si>
  <si>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</si>
  <si>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</si>
  <si>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</si>
  <si>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</si>
  <si>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</si>
  <si>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</si>
  <si>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</si>
  <si>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</si>
  <si>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</si>
  <si>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</si>
  <si>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</si>
  <si>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</si>
  <si>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</si>
  <si>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</si>
  <si>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</si>
  <si>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</si>
  <si>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</si>
  <si>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</si>
  <si>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</si>
  <si>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</si>
  <si>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</si>
  <si>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</si>
  <si>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</si>
  <si>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</si>
  <si>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</si>
  <si>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</si>
  <si>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</si>
  <si>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</si>
  <si>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</si>
  <si>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</si>
  <si>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</si>
  <si>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</si>
  <si>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</si>
  <si>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</si>
  <si>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</si>
  <si>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</si>
  <si>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</si>
  <si>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</si>
  <si>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</si>
  <si>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</si>
  <si>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</si>
  <si>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</si>
  <si>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</si>
  <si>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</si>
  <si>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</si>
  <si>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</si>
  <si>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</si>
  <si>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</si>
  <si>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</si>
  <si>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</si>
  <si>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</si>
  <si>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</si>
  <si>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</si>
  <si>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</si>
  <si>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</si>
  <si>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</si>
  <si>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</si>
  <si>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</si>
  <si>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</si>
  <si>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</si>
  <si>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</si>
  <si>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</si>
  <si>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</si>
  <si>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</si>
  <si>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</si>
  <si>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</si>
  <si>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</si>
  <si>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</si>
  <si>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</si>
  <si>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</si>
  <si>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</si>
  <si>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</si>
  <si>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</si>
  <si>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</si>
  <si>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</si>
  <si>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</si>
  <si>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</si>
  <si>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</si>
  <si>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</si>
  <si>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</si>
  <si>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</si>
  <si>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</si>
  <si>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</si>
  <si>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</si>
  <si>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</si>
  <si>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</si>
  <si>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</si>
  <si>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</si>
  <si>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</si>
  <si>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</si>
  <si>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</si>
  <si>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</si>
  <si>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</si>
  <si>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</si>
  <si>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</si>
  <si>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</si>
  <si>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</si>
  <si>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</si>
  <si>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</si>
  <si>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</si>
  <si>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</si>
  <si>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</si>
  <si>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</si>
  <si>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</si>
  <si>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</si>
  <si>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</si>
  <si>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</si>
  <si>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</si>
  <si>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</si>
  <si>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</si>
  <si>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</si>
  <si>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</si>
  <si>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</si>
  <si>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</si>
  <si>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</si>
  <si>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</si>
  <si>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</si>
  <si>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</si>
  <si>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</si>
  <si>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</si>
  <si>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</si>
  <si>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</si>
  <si>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</si>
  <si>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</si>
  <si>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</si>
  <si>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</si>
  <si>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</si>
  <si>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</si>
  <si>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</si>
  <si>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</si>
  <si>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</si>
  <si>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</si>
  <si>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</si>
  <si>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</si>
  <si>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</si>
  <si>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</si>
  <si>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</si>
  <si>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</si>
  <si>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</si>
  <si>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</si>
  <si>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</si>
  <si>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</si>
  <si>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</si>
  <si>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</si>
  <si>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</si>
  <si>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</si>
  <si>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</si>
  <si>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</si>
  <si>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</si>
  <si>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</si>
  <si>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</si>
  <si>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</si>
  <si>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</si>
  <si>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</si>
  <si>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</si>
  <si>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</si>
  <si>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</si>
  <si>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</si>
  <si>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</si>
  <si>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</si>
  <si>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</si>
  <si>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</si>
  <si>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</si>
  <si>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</si>
  <si>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</si>
  <si>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</si>
  <si>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</si>
  <si>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</si>
  <si>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</si>
  <si>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</si>
  <si>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</si>
  <si>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</si>
  <si>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</si>
  <si>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</si>
  <si>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</si>
  <si>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</si>
  <si>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</si>
  <si>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</si>
  <si>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</si>
  <si>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</si>
  <si>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</si>
  <si>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</si>
  <si>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</si>
  <si>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</si>
  <si>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</si>
  <si>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</si>
  <si>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</si>
  <si>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</si>
  <si>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</si>
  <si>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</si>
  <si>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</si>
  <si>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</si>
  <si>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</si>
  <si>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</si>
  <si>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</si>
  <si>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</si>
  <si>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</si>
  <si>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</si>
  <si>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</si>
  <si>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</si>
  <si>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</si>
  <si>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</si>
  <si>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</si>
  <si>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</si>
  <si>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</si>
  <si>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</si>
  <si>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</si>
  <si>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</si>
  <si>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</si>
  <si>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</si>
  <si>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</si>
  <si>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</si>
  <si>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</si>
  <si>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</si>
  <si>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</si>
  <si>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</si>
  <si>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</si>
  <si>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</si>
  <si>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</si>
  <si>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</si>
  <si>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</si>
  <si>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</si>
  <si>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</si>
  <si>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</si>
  <si>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</si>
  <si>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</si>
  <si>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</si>
  <si>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</si>
  <si>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</si>
  <si>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</si>
  <si>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</si>
  <si>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</si>
  <si>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</si>
  <si>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</si>
  <si>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</si>
  <si>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</si>
  <si>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</si>
  <si>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</si>
  <si>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</si>
  <si>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</si>
  <si>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</si>
  <si>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</si>
  <si>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</si>
  <si>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</si>
  <si>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</si>
  <si>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</si>
  <si>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</si>
  <si>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</si>
  <si>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</si>
  <si>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</si>
  <si>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</si>
  <si>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</si>
  <si>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</si>
  <si>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</si>
  <si>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</si>
  <si>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</si>
  <si>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</si>
  <si>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</si>
  <si>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</si>
  <si>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</si>
  <si>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</si>
  <si>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</si>
  <si>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</si>
  <si>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</si>
  <si>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</si>
  <si>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</si>
  <si>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</si>
  <si>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</si>
  <si>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</si>
  <si>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</si>
  <si>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</si>
  <si>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</si>
  <si>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</si>
  <si>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</si>
  <si>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</si>
  <si>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</si>
  <si>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</si>
  <si>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</si>
  <si>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</si>
  <si>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</si>
  <si>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</si>
  <si>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</si>
  <si>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</si>
  <si>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</si>
  <si>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</si>
  <si>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</si>
  <si>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</si>
  <si>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</si>
  <si>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</si>
  <si>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</si>
  <si>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</si>
  <si>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</si>
  <si>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</si>
  <si>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</si>
  <si>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</si>
  <si>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</si>
  <si>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</si>
  <si>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</si>
  <si>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</si>
  <si>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</si>
  <si>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</si>
  <si>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</si>
  <si>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</si>
  <si>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</si>
  <si>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</si>
  <si>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</si>
  <si>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</si>
  <si>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</si>
  <si>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</si>
  <si>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</si>
  <si>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</si>
  <si>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</si>
  <si>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</si>
  <si>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</si>
  <si>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</si>
  <si>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</si>
  <si>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</si>
  <si>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</si>
  <si>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</si>
  <si>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</si>
  <si>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</si>
  <si>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</si>
  <si>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</si>
  <si>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</si>
  <si>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</si>
  <si>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</si>
  <si>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</si>
  <si>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</si>
  <si>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</si>
  <si>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</si>
  <si>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</si>
  <si>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</si>
  <si>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</si>
  <si>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</si>
  <si>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</si>
  <si>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</si>
  <si>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</si>
  <si>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</si>
  <si>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</si>
  <si>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</si>
  <si>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</si>
  <si>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</si>
  <si>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</si>
  <si>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</si>
  <si>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</si>
  <si>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</si>
  <si>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</si>
  <si>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</si>
  <si>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</si>
  <si>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</si>
  <si>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</si>
  <si>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</si>
  <si>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</si>
  <si>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</si>
  <si>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</si>
  <si>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</si>
  <si>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</si>
  <si>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</si>
  <si>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</si>
  <si>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</si>
  <si>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</si>
  <si>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</si>
  <si>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</si>
  <si>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</si>
  <si>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</si>
  <si>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</si>
  <si>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</si>
  <si>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</si>
  <si>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</si>
  <si>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</si>
  <si>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</si>
  <si>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</si>
  <si>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</si>
  <si>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</si>
  <si>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</si>
  <si>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</si>
  <si>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</si>
  <si>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</si>
  <si>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</si>
  <si>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</si>
  <si>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</si>
  <si>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</si>
  <si>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</si>
  <si>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</si>
  <si>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</si>
  <si>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</si>
  <si>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</si>
  <si>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</si>
  <si>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</si>
  <si>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</si>
  <si>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</si>
  <si>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</si>
  <si>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</si>
  <si>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</si>
  <si>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</si>
  <si>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</si>
  <si>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</si>
  <si>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</si>
  <si>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</si>
  <si>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</si>
  <si>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</si>
  <si>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</si>
  <si>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</si>
  <si>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</si>
  <si>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</si>
  <si>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</si>
  <si>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</si>
  <si>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</si>
  <si>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</si>
  <si>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</si>
  <si>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</si>
  <si>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</si>
  <si>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</si>
  <si>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</si>
  <si>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</si>
  <si>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</si>
  <si>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</si>
  <si>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</si>
  <si>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</si>
  <si>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</si>
  <si>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</si>
  <si>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</si>
  <si>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</si>
  <si>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</si>
  <si>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</si>
  <si>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</si>
  <si>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</si>
  <si>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</si>
  <si>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</si>
  <si>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</si>
  <si>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</si>
  <si>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</si>
  <si>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</si>
  <si>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</si>
  <si>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</si>
  <si>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</si>
  <si>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</si>
  <si>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</si>
  <si>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</si>
  <si>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</si>
  <si>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</si>
  <si>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</si>
  <si>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</si>
  <si>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</si>
  <si>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</si>
  <si>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</si>
  <si>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</si>
  <si>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</si>
  <si>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</si>
  <si>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</si>
  <si>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</si>
  <si>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</si>
  <si>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</si>
  <si>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</si>
  <si>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</si>
  <si>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</si>
  <si>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</si>
  <si>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</si>
  <si>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</si>
  <si>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</si>
  <si>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</si>
  <si>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</si>
  <si>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</si>
  <si>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</si>
  <si>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</si>
  <si>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</si>
  <si>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</si>
  <si>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</si>
  <si>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</si>
  <si>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</si>
  <si>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</si>
  <si>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</si>
  <si>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</si>
  <si>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</si>
  <si>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</si>
  <si>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</si>
  <si>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</si>
  <si>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</si>
  <si>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</si>
  <si>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</si>
  <si>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</si>
  <si>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</si>
  <si>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</si>
  <si>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</si>
  <si>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</si>
  <si>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</si>
  <si>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</si>
  <si>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</si>
  <si>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</si>
  <si>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</si>
  <si>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</si>
  <si>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</si>
  <si>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</si>
  <si>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</si>
  <si>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</si>
  <si>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</si>
  <si>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</si>
  <si>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</si>
  <si>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</si>
  <si>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</si>
  <si>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</si>
  <si>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</si>
  <si>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</si>
  <si>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</si>
  <si>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</si>
  <si>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</si>
  <si>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</si>
  <si>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</si>
  <si>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</si>
  <si>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</si>
  <si>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</si>
  <si>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</si>
  <si>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</si>
  <si>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</si>
  <si>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</si>
  <si>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</si>
  <si>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</si>
  <si>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</si>
  <si>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</si>
  <si>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</si>
  <si>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</si>
  <si>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</si>
  <si>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</si>
  <si>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</si>
  <si>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</si>
  <si>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</si>
  <si>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</si>
  <si>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</si>
  <si>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</si>
  <si>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</si>
  <si>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</si>
  <si>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</si>
  <si>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</si>
  <si>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</si>
  <si>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</si>
  <si>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</si>
  <si>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</si>
  <si>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</si>
  <si>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</si>
  <si>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</si>
  <si>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</si>
  <si>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</si>
  <si>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</si>
  <si>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</si>
  <si>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</si>
  <si>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</si>
  <si>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</si>
  <si>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</si>
  <si>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</si>
  <si>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</si>
  <si>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</si>
  <si>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</si>
  <si>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</si>
  <si>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</si>
  <si>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</si>
  <si>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</si>
  <si>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</si>
  <si>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</si>
  <si>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</si>
  <si>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</si>
  <si>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</si>
  <si>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</si>
  <si>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</si>
  <si>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</si>
  <si>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</si>
  <si>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</si>
  <si>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</si>
  <si>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</si>
  <si>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</si>
  <si>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</si>
  <si>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</si>
  <si>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</si>
  <si>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</si>
  <si>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</si>
  <si>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</si>
  <si>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</si>
  <si>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</si>
  <si>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</si>
  <si>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</si>
  <si>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</si>
  <si>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</si>
  <si>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</si>
  <si>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</si>
  <si>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</si>
  <si>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</si>
  <si>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</si>
  <si>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</si>
  <si>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</si>
  <si>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</si>
  <si>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</si>
  <si>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</si>
  <si>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</si>
  <si>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</si>
  <si>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</si>
  <si>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</si>
  <si>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</si>
  <si>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</si>
  <si>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</si>
  <si>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</si>
  <si>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</si>
  <si>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</si>
  <si>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</si>
  <si>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</si>
  <si>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</si>
  <si>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</si>
  <si>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</si>
  <si>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</si>
  <si>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</si>
  <si>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</si>
  <si>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</si>
  <si>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</si>
  <si>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</si>
  <si>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</si>
  <si>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</si>
  <si>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</si>
  <si>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</si>
  <si>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</si>
  <si>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</si>
  <si>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</si>
  <si>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</si>
  <si>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</si>
  <si>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</si>
  <si>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</si>
  <si>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</si>
  <si>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</si>
  <si>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</si>
  <si>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</si>
  <si>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</si>
  <si>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</si>
  <si>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</si>
  <si>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</si>
  <si>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</si>
  <si>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</si>
  <si>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</si>
  <si>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</si>
  <si>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</si>
  <si>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</si>
  <si>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</si>
  <si>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</si>
  <si>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</si>
  <si>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</si>
  <si>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</si>
  <si>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</si>
  <si>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</si>
  <si>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</si>
  <si>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</si>
  <si>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</si>
  <si>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</si>
  <si>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</si>
  <si>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</si>
  <si>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</si>
  <si>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</si>
  <si>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</si>
  <si>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</si>
  <si>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</si>
  <si>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</si>
  <si>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</si>
  <si>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</si>
  <si>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</si>
  <si>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</si>
  <si>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</si>
  <si>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</si>
  <si>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</si>
  <si>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</si>
  <si>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</si>
  <si>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</si>
  <si>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</si>
  <si>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</si>
  <si>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</si>
  <si>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</si>
  <si>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</si>
  <si>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</si>
  <si>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</si>
  <si>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</si>
  <si>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</si>
  <si>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</si>
  <si>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</si>
  <si>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</si>
  <si>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</si>
  <si>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</si>
  <si>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</si>
  <si>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</si>
  <si>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</si>
  <si>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</si>
  <si>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</si>
  <si>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</si>
  <si>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</si>
  <si>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</si>
  <si>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</si>
  <si>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</si>
  <si>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</si>
  <si>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</si>
  <si>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</si>
  <si>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</si>
  <si>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</si>
  <si>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</si>
  <si>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</si>
  <si>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</si>
  <si>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</si>
  <si>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</si>
  <si>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</si>
  <si>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</si>
  <si>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</si>
  <si>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</si>
  <si>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</si>
  <si>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</si>
  <si>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</si>
  <si>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</si>
  <si>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</si>
  <si>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</si>
  <si>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</si>
  <si>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</si>
  <si>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</si>
  <si>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</si>
  <si>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</si>
  <si>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</si>
  <si>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</si>
  <si>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</si>
  <si>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</si>
  <si>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</si>
  <si>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</si>
  <si>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</si>
  <si>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</si>
  <si>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</si>
  <si>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</si>
  <si>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</si>
  <si>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</si>
  <si>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</si>
  <si>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</si>
  <si>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</si>
  <si>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</si>
  <si>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</si>
  <si>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</si>
  <si>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</si>
  <si>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</si>
  <si>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</si>
  <si>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</si>
  <si>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</si>
  <si>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</si>
  <si>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</si>
  <si>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</si>
  <si>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</si>
  <si>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</si>
  <si>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</si>
  <si>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</si>
  <si>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</si>
  <si>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</si>
  <si>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</si>
  <si>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</si>
  <si>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</si>
  <si>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</si>
  <si>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</si>
  <si>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</si>
  <si>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</si>
  <si>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</si>
  <si>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</si>
  <si>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</si>
  <si>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</si>
  <si>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</si>
  <si>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</si>
  <si>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</si>
  <si>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</si>
  <si>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</si>
  <si>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</si>
  <si>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</si>
  <si>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</si>
  <si>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</si>
  <si>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</si>
  <si>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</si>
  <si>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</si>
  <si>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</si>
  <si>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</si>
  <si>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</si>
  <si>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</si>
  <si>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</si>
  <si>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</si>
  <si>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</si>
  <si>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</si>
  <si>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</si>
  <si>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</si>
  <si>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</si>
  <si>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</si>
  <si>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</si>
  <si>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</si>
  <si>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</si>
  <si>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</si>
  <si>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</si>
  <si>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</si>
  <si>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</si>
  <si>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</si>
  <si>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</si>
  <si>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</si>
  <si>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</si>
  <si>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</si>
  <si>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</si>
  <si>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</si>
  <si>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</si>
  <si>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</si>
  <si>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</si>
  <si>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</si>
  <si>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</si>
  <si>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</si>
  <si>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</si>
  <si>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</si>
  <si>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</si>
  <si>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</si>
  <si>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</si>
  <si>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</si>
  <si>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</si>
  <si>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</si>
  <si>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</si>
  <si>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</si>
  <si>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</si>
  <si>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</si>
  <si>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</si>
  <si>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</si>
  <si>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</si>
  <si>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</si>
  <si>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</si>
  <si>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</si>
  <si>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</si>
  <si>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</si>
  <si>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</si>
  <si>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</si>
  <si>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</si>
  <si>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</si>
  <si>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</si>
  <si>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</si>
  <si>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</si>
  <si>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</si>
  <si>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</si>
  <si>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</si>
  <si>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</si>
  <si>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</si>
  <si>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</si>
  <si>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</si>
  <si>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</si>
  <si>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</si>
  <si>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</si>
  <si>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</si>
  <si>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</si>
  <si>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</si>
  <si>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</si>
  <si>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</si>
  <si>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</si>
  <si>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</si>
  <si>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</si>
  <si>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</si>
  <si>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</si>
  <si>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</si>
  <si>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</si>
  <si>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</si>
  <si>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</si>
  <si>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</si>
  <si>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</si>
  <si>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</si>
  <si>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</si>
  <si>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</si>
  <si>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</si>
  <si>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</si>
  <si>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</si>
  <si>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</si>
  <si>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</si>
  <si>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</si>
  <si>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</si>
  <si>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</si>
  <si>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</si>
  <si>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</si>
  <si>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</si>
  <si>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</si>
  <si>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</si>
  <si>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</si>
  <si>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</si>
  <si>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</si>
  <si>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</si>
  <si>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</si>
  <si>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</si>
  <si>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</si>
  <si>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</si>
  <si>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</si>
  <si>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</si>
  <si>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</si>
  <si>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</si>
  <si>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</si>
  <si>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</si>
  <si>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</si>
  <si>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</si>
  <si>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</si>
  <si>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</si>
  <si>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</si>
  <si>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</si>
  <si>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</si>
  <si>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</si>
  <si>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</si>
  <si>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</si>
  <si>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</si>
  <si>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</si>
  <si>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</si>
  <si>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</si>
  <si>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</si>
  <si>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</si>
  <si>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</si>
  <si>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</si>
  <si>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</si>
  <si>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</si>
  <si>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</si>
  <si>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</si>
  <si>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</si>
  <si>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</si>
  <si>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</si>
  <si>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</si>
  <si>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</si>
  <si>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</si>
  <si>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</si>
  <si>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</si>
  <si>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</si>
  <si>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</si>
  <si>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</si>
  <si>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</si>
  <si>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</si>
  <si>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</si>
  <si>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</si>
  <si>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</si>
  <si>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</si>
  <si>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</si>
  <si>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</si>
  <si>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</si>
  <si>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</si>
  <si>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</si>
  <si>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</si>
  <si>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</si>
  <si>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</si>
  <si>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</si>
  <si>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</si>
  <si>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</si>
  <si>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</si>
  <si>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</si>
  <si>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</si>
  <si>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</si>
  <si>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</si>
  <si>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</si>
  <si>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</si>
  <si>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</si>
  <si>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</si>
  <si>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</si>
  <si>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</si>
  <si>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</si>
  <si>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</si>
  <si>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</si>
  <si>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</si>
  <si>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</si>
  <si>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</si>
  <si>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</si>
  <si>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</si>
  <si>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</si>
  <si>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</si>
  <si>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</si>
  <si>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</si>
  <si>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</si>
  <si>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</si>
  <si>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</si>
  <si>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</si>
  <si>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</si>
  <si>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</si>
  <si>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</si>
  <si>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</si>
  <si>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</si>
  <si>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</si>
  <si>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</si>
  <si>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</si>
  <si>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</si>
  <si>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</si>
  <si>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</si>
  <si>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</si>
  <si>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</si>
  <si>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</si>
  <si>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</si>
  <si>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</si>
  <si>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</si>
  <si>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</si>
  <si>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</si>
  <si>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</si>
  <si>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</si>
  <si>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</si>
  <si>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</si>
  <si>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</si>
  <si>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</si>
  <si>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</si>
  <si>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</si>
  <si>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</si>
  <si>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</si>
  <si>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</si>
  <si>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</si>
  <si>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</si>
  <si>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</si>
  <si>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</si>
  <si>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</si>
  <si>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</si>
  <si>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</si>
  <si>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</si>
  <si>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</si>
  <si>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</si>
  <si>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</si>
  <si>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</si>
  <si>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</si>
  <si>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</si>
  <si>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</si>
  <si>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</si>
  <si>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</si>
  <si>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</si>
  <si>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</si>
  <si>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</si>
  <si>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</si>
  <si>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</si>
  <si>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</si>
  <si>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</si>
  <si>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</si>
  <si>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</si>
  <si>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</si>
  <si>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</si>
  <si>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</si>
  <si>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</si>
  <si>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</si>
  <si>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</si>
  <si>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</si>
  <si>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</si>
  <si>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</si>
  <si>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</si>
  <si>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</si>
  <si>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</si>
  <si>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</si>
  <si>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</si>
  <si>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</si>
  <si>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</si>
  <si>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</si>
  <si>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</si>
  <si>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</si>
  <si>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</si>
  <si>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</si>
  <si>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</si>
  <si>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</si>
  <si>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</si>
  <si>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</si>
  <si>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</si>
  <si>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</si>
  <si>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</si>
  <si>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</si>
  <si>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</si>
  <si>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</si>
  <si>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</si>
  <si>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</si>
  <si>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</si>
  <si>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</si>
  <si>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</si>
  <si>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</si>
  <si>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</si>
  <si>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</si>
  <si>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</si>
  <si>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</si>
  <si>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</si>
  <si>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</si>
  <si>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</si>
  <si>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</si>
  <si>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</si>
  <si>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</si>
  <si>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</si>
  <si>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</si>
  <si>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</si>
  <si>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</si>
  <si>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</si>
  <si>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</si>
  <si>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</si>
  <si>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</si>
  <si>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</si>
  <si>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</si>
  <si>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</si>
  <si>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</si>
  <si>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</si>
  <si>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</si>
  <si>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</si>
  <si>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</si>
  <si>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</si>
  <si>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</si>
  <si>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</si>
  <si>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</si>
  <si>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</si>
  <si>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</si>
  <si>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</si>
  <si>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</si>
  <si>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</si>
  <si>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</si>
  <si>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</si>
  <si>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</si>
  <si>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</si>
  <si>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</si>
  <si>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</si>
  <si>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</si>
  <si>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</si>
  <si>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</si>
  <si>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</si>
  <si>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</si>
  <si>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</si>
  <si>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</si>
  <si>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</si>
  <si>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</si>
  <si>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</si>
  <si>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</si>
  <si>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</si>
  <si>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</si>
  <si>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</si>
  <si>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</si>
  <si>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</si>
  <si>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</si>
  <si>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</si>
  <si>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</si>
  <si>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</si>
  <si>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</si>
  <si>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</si>
  <si>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</si>
  <si>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</si>
  <si>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</si>
  <si>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</si>
  <si>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</si>
  <si>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</si>
  <si>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</si>
  <si>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</si>
  <si>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</si>
  <si>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</si>
  <si>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</si>
  <si>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</si>
  <si>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</si>
  <si>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</si>
  <si>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</si>
  <si>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</si>
  <si>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</si>
  <si>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</si>
  <si>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</si>
  <si>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</si>
  <si>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</si>
  <si>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</si>
  <si>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</si>
  <si>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</si>
  <si>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</si>
  <si>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</si>
  <si>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</si>
  <si>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</si>
  <si>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</si>
  <si>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</si>
  <si>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</si>
  <si>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</si>
  <si>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</si>
  <si>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</si>
  <si>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</si>
  <si>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</si>
  <si>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</si>
  <si>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</si>
  <si>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</si>
  <si>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</si>
  <si>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</si>
  <si>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</si>
  <si>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</si>
  <si>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</si>
  <si>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</si>
  <si>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</si>
  <si>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</si>
  <si>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</si>
  <si>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</si>
  <si>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</si>
  <si>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</si>
  <si>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</si>
  <si>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</si>
  <si>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</si>
  <si>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</si>
  <si>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</si>
  <si>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</si>
  <si>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</si>
  <si>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</si>
  <si>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</si>
  <si>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</si>
  <si>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</si>
  <si>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</si>
  <si>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</si>
  <si>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</si>
  <si>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</si>
  <si>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</si>
  <si>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</si>
  <si>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</si>
  <si>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</si>
  <si>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</si>
  <si>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</si>
  <si>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</si>
  <si>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</si>
  <si>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</si>
  <si>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</si>
  <si>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</si>
  <si>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</si>
  <si>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</si>
  <si>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</si>
  <si>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</si>
  <si>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</si>
  <si>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</si>
  <si>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</si>
  <si>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</si>
  <si>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</si>
  <si>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</si>
  <si>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</si>
  <si>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</si>
  <si>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</si>
  <si>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</si>
  <si>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</si>
  <si>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</si>
  <si>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</si>
  <si>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</si>
  <si>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</si>
  <si>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</si>
  <si>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</si>
  <si>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</si>
  <si>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</si>
  <si>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</si>
  <si>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</si>
  <si>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</si>
  <si>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</si>
  <si>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</si>
  <si>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</si>
  <si>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</si>
  <si>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</si>
  <si>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</si>
  <si>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</si>
  <si>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</si>
  <si>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</si>
  <si>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</si>
  <si>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</si>
  <si>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</si>
  <si>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</si>
  <si>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</si>
  <si>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</si>
  <si>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</si>
  <si>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</si>
  <si>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</si>
  <si>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</si>
  <si>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</si>
  <si>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</si>
  <si>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</si>
  <si>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</si>
  <si>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</si>
  <si>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</si>
  <si>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</si>
  <si>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</si>
  <si>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</si>
  <si>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</si>
  <si>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</si>
  <si>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</si>
  <si>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</si>
  <si>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</si>
  <si>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</si>
  <si>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</si>
  <si>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</si>
  <si>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</si>
  <si>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</si>
  <si>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</si>
  <si>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</si>
  <si>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</si>
  <si>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</si>
  <si>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</si>
  <si>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</si>
  <si>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</si>
  <si>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</si>
  <si>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</si>
  <si>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</si>
  <si>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</si>
  <si>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</si>
  <si>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</si>
  <si>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</si>
  <si>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</si>
  <si>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</si>
  <si>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</si>
  <si>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</si>
  <si>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</si>
  <si>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</si>
  <si>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</si>
  <si>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</si>
  <si>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</si>
  <si>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</si>
  <si>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</si>
  <si>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</si>
  <si>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</si>
  <si>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</si>
  <si>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</si>
  <si>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</si>
  <si>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</si>
  <si>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</si>
  <si>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</si>
  <si>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</si>
  <si>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</si>
  <si>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</si>
  <si>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</si>
  <si>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</si>
  <si>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</si>
  <si>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</si>
  <si>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</si>
  <si>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</si>
  <si>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</si>
  <si>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</si>
  <si>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</si>
  <si>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</si>
  <si>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</si>
  <si>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</si>
  <si>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</si>
  <si>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</si>
  <si>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</si>
  <si>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</si>
  <si>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</si>
  <si>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</si>
  <si>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</si>
  <si>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</si>
  <si>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</si>
  <si>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</si>
  <si>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</si>
  <si>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</si>
  <si>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</si>
  <si>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</si>
  <si>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</si>
  <si>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</si>
  <si>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</si>
  <si>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</si>
  <si>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</si>
  <si>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</si>
  <si>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</si>
  <si>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</si>
  <si>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</si>
  <si>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</si>
  <si>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</si>
  <si>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</si>
  <si>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</si>
  <si>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</si>
  <si>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</si>
  <si>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</si>
  <si>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</si>
  <si>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</si>
  <si>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</si>
  <si>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</si>
  <si>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</si>
  <si>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</si>
  <si>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</si>
  <si>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</si>
  <si>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</si>
  <si>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</si>
  <si>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</si>
  <si>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</si>
  <si>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</si>
  <si>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</si>
  <si>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</si>
  <si>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</si>
  <si>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</si>
  <si>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</si>
  <si>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</si>
  <si>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</si>
  <si>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</si>
  <si>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</si>
  <si>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</si>
  <si>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</si>
  <si>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</si>
  <si>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</si>
  <si>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</si>
  <si>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</si>
  <si>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</si>
  <si>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</si>
  <si>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</si>
  <si>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</si>
  <si>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</si>
  <si>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</si>
  <si>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</si>
  <si>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</si>
  <si>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</si>
  <si>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</si>
  <si>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</si>
  <si>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</si>
  <si>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</si>
  <si>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</si>
  <si>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</si>
  <si>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</si>
  <si>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</si>
  <si>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</si>
  <si>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</si>
  <si>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</si>
  <si>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</si>
  <si>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</si>
  <si>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</si>
  <si>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</si>
  <si>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</si>
  <si>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</si>
  <si>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</si>
  <si>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</si>
  <si>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</si>
  <si>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</si>
  <si>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</si>
  <si>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</si>
  <si>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</si>
  <si>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</si>
  <si>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</si>
  <si>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</si>
  <si>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</si>
  <si>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</si>
  <si>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</si>
  <si>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</si>
  <si>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</si>
  <si>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</si>
  <si>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</si>
  <si>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</si>
  <si>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</si>
  <si>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</si>
  <si>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</si>
  <si>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</si>
  <si>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</si>
  <si>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</si>
  <si>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</si>
  <si>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</si>
  <si>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</si>
  <si>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</si>
  <si>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</si>
  <si>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</si>
  <si>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</si>
  <si>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</si>
  <si>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</si>
  <si>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</si>
  <si>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</si>
  <si>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</si>
  <si>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</si>
  <si>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</si>
  <si>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</si>
  <si>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</si>
  <si>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</si>
  <si>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</si>
  <si>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</si>
  <si>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</si>
  <si>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</si>
  <si>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</si>
  <si>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</si>
  <si>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</si>
  <si>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</si>
  <si>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</si>
  <si>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</si>
  <si>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</si>
  <si>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</si>
  <si>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</si>
  <si>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</si>
  <si>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</si>
  <si>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</si>
  <si>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</si>
  <si>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</si>
  <si>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</si>
  <si>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</si>
  <si>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</si>
  <si>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</si>
  <si>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</si>
  <si>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</si>
  <si>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</si>
  <si>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</si>
  <si>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</si>
  <si>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</si>
  <si>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</si>
  <si>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</si>
  <si>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</si>
  <si>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</si>
  <si>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</si>
  <si>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</si>
  <si>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</si>
  <si>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</si>
  <si>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</si>
  <si>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</si>
  <si>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</si>
  <si>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</si>
  <si>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</si>
  <si>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</si>
  <si>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</si>
  <si>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</si>
  <si>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</si>
  <si>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</si>
  <si>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</si>
  <si>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</si>
  <si>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</si>
  <si>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</si>
  <si>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</si>
  <si>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</si>
  <si>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</si>
  <si>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</si>
  <si>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</si>
  <si>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</si>
  <si>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</si>
  <si>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</si>
  <si>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</si>
  <si>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</si>
  <si>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</si>
  <si>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</si>
  <si>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</si>
  <si>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</si>
  <si>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</si>
  <si>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</si>
  <si>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</si>
  <si>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</si>
  <si>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</si>
  <si>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</si>
  <si>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</si>
  <si>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</si>
  <si>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</si>
  <si>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</si>
  <si>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</si>
  <si>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</si>
  <si>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</si>
  <si>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</si>
  <si>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</si>
  <si>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</si>
  <si>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</si>
  <si>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</si>
  <si>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</si>
  <si>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</si>
  <si>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</si>
  <si>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</si>
  <si>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</si>
  <si>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</si>
  <si>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</si>
  <si>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</si>
  <si>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</si>
  <si>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</si>
  <si>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</si>
  <si>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</si>
  <si>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</si>
  <si>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</si>
  <si>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</si>
  <si>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</si>
  <si>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</si>
  <si>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</si>
  <si>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</si>
  <si>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</si>
  <si>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</si>
  <si>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</si>
  <si>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</si>
  <si>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</si>
  <si>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</si>
  <si>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</si>
  <si>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</si>
  <si>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</si>
  <si>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</si>
  <si>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</si>
  <si>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</si>
  <si>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</si>
  <si>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</si>
  <si>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</si>
  <si>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</si>
  <si>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</si>
  <si>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</si>
  <si>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</si>
  <si>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</si>
  <si>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</si>
  <si>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</si>
  <si>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</si>
  <si>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</si>
  <si>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</si>
  <si>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</si>
  <si>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</si>
  <si>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</si>
  <si>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</si>
  <si>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</si>
  <si>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</si>
  <si>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</si>
  <si>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</si>
  <si>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</si>
  <si>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</si>
  <si>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</si>
  <si>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</si>
  <si>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</si>
  <si>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</si>
  <si>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</si>
  <si>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</si>
  <si>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</si>
  <si>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</si>
  <si>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</si>
  <si>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</si>
  <si>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</si>
  <si>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</si>
  <si>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</si>
  <si>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</si>
  <si>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</si>
  <si>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</si>
  <si>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</si>
  <si>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</si>
  <si>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</si>
  <si>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</si>
  <si>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</si>
  <si>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</si>
  <si>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</si>
  <si>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</si>
  <si>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</si>
  <si>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</si>
  <si>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</si>
  <si>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</si>
  <si>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</si>
  <si>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</si>
  <si>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</si>
  <si>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</si>
  <si>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</si>
  <si>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</si>
  <si>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</si>
  <si>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</si>
  <si>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</si>
  <si>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</si>
  <si>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</si>
  <si>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</si>
  <si>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</si>
  <si>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</si>
  <si>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</si>
  <si>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</si>
  <si>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</si>
  <si>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</si>
  <si>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</si>
  <si>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</si>
  <si>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</si>
  <si>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</si>
  <si>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</si>
  <si>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</si>
  <si>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</si>
  <si>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</si>
  <si>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</si>
  <si>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</si>
  <si>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</si>
  <si>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</si>
  <si>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</si>
  <si>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</si>
  <si>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</si>
  <si>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</si>
  <si>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</si>
  <si>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</si>
  <si>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</si>
  <si>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</si>
  <si>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</si>
  <si>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</si>
  <si>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</si>
  <si>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</si>
  <si>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</si>
  <si>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</si>
  <si>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</si>
  <si>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</si>
  <si>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</si>
  <si>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</si>
  <si>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</si>
  <si>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</si>
  <si>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</si>
  <si>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</si>
  <si>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</si>
  <si>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</si>
  <si>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</si>
  <si>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</si>
  <si>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</si>
  <si>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</si>
  <si>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</si>
  <si>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</si>
  <si>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</si>
  <si>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</si>
  <si>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</si>
  <si>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</si>
  <si>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</si>
  <si>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</si>
  <si>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</si>
  <si>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</si>
  <si>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</si>
  <si>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</si>
  <si>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</si>
  <si>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</si>
  <si>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</si>
  <si>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</si>
  <si>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</si>
  <si>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</si>
  <si>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</si>
  <si>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</si>
  <si>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</si>
  <si>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</si>
  <si>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</si>
  <si>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</si>
  <si>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</si>
  <si>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</si>
  <si>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</si>
  <si>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</si>
  <si>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</si>
  <si>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</si>
  <si>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</si>
  <si>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</si>
  <si>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</si>
  <si>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</si>
  <si>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</si>
  <si>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</si>
  <si>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</si>
  <si>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</si>
  <si>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</si>
  <si>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</si>
  <si>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</si>
  <si>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</si>
  <si>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</si>
  <si>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</si>
  <si>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</si>
  <si>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</si>
  <si>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</si>
  <si>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</si>
  <si>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</si>
  <si>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</si>
  <si>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</si>
  <si>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</si>
  <si>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</si>
  <si>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</si>
  <si>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</si>
  <si>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</si>
  <si>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</si>
  <si>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</si>
  <si>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</si>
  <si>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</si>
  <si>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</si>
  <si>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</si>
  <si>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</si>
  <si>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</si>
  <si>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</si>
  <si>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</si>
  <si>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</si>
  <si>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</si>
  <si>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</si>
  <si>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</si>
  <si>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</si>
  <si>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</si>
  <si>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</si>
  <si>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</si>
  <si>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</si>
  <si>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</si>
  <si>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</si>
  <si>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</si>
  <si>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</si>
  <si>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</si>
  <si>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</si>
  <si>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</si>
  <si>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</si>
  <si>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</si>
  <si>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</si>
  <si>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</si>
  <si>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</si>
  <si>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</si>
  <si>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</si>
  <si>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</si>
  <si>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</si>
  <si>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</si>
  <si>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</si>
  <si>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</si>
  <si>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</si>
  <si>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</si>
  <si>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</si>
  <si>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</si>
  <si>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</si>
  <si>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</si>
  <si>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</si>
  <si>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</si>
  <si>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</si>
  <si>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</si>
  <si>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</si>
  <si>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</si>
  <si>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</si>
  <si>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</si>
  <si>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</si>
  <si>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</si>
  <si>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</si>
  <si>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</si>
  <si>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</si>
  <si>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</si>
  <si>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</si>
  <si>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</si>
  <si>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</si>
  <si>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</si>
  <si>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</si>
  <si>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</si>
  <si>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</si>
  <si>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</si>
  <si>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</si>
  <si>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</si>
  <si>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</si>
  <si>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</si>
  <si>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</si>
  <si>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</si>
  <si>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</si>
  <si>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</si>
  <si>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</si>
  <si>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</si>
  <si>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</si>
  <si>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</si>
  <si>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</si>
  <si>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</si>
  <si>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</si>
  <si>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</si>
  <si>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</si>
  <si>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</si>
  <si>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</si>
  <si>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</si>
  <si>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</si>
  <si>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</si>
  <si>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</si>
  <si>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</si>
  <si>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</si>
  <si>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</si>
  <si>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</si>
  <si>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</si>
  <si>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</si>
  <si>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</si>
  <si>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</si>
  <si>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</si>
  <si>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</si>
  <si>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</si>
  <si>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</si>
  <si>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</si>
  <si>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</si>
  <si>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</si>
  <si>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</si>
  <si>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</si>
  <si>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</si>
  <si>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</si>
  <si>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</si>
  <si>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</si>
  <si>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</si>
  <si>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</si>
  <si>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</si>
  <si>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</si>
  <si>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</si>
  <si>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</si>
  <si>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</si>
  <si>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</si>
  <si>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</si>
  <si>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</si>
  <si>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</si>
  <si>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</si>
  <si>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</si>
  <si>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</si>
  <si>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</si>
  <si>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</si>
  <si>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</si>
  <si>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</si>
  <si>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</si>
  <si>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</si>
  <si>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</si>
  <si>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</si>
  <si>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</si>
  <si>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</si>
  <si>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</si>
  <si>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</si>
  <si>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</si>
  <si>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</si>
  <si>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</si>
  <si>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</si>
  <si>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</si>
  <si>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</si>
  <si>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</si>
  <si>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</si>
  <si>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</si>
  <si>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</si>
  <si>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</si>
  <si>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</si>
  <si>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</si>
  <si>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</si>
  <si>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</si>
  <si>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</si>
  <si>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</si>
  <si>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</si>
  <si>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</si>
  <si>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</si>
  <si>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</si>
  <si>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</si>
  <si>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</si>
  <si>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</si>
  <si>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</si>
  <si>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</si>
  <si>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</si>
  <si>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</si>
  <si>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</si>
  <si>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</si>
  <si>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</si>
  <si>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</si>
  <si>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</si>
  <si>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</si>
  <si>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</si>
  <si>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</si>
  <si>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</si>
  <si>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</si>
  <si>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</si>
  <si>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</si>
  <si>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</si>
  <si>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</si>
  <si>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</si>
  <si>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</si>
  <si>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</si>
  <si>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</si>
  <si>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</si>
  <si>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</si>
  <si>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</si>
  <si>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</si>
  <si>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</si>
  <si>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</si>
  <si>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</si>
  <si>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</si>
  <si>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</si>
  <si>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</si>
  <si>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</si>
  <si>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</si>
  <si>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</si>
  <si>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</si>
  <si>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</si>
  <si>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</si>
  <si>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</si>
  <si>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</si>
  <si>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</si>
  <si>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</si>
  <si>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</si>
  <si>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</si>
  <si>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</si>
  <si>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</si>
  <si>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</si>
  <si>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</si>
  <si>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</si>
  <si>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</si>
  <si>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</si>
  <si>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</si>
  <si>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</si>
  <si>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</si>
  <si>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</si>
  <si>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</si>
  <si>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</si>
  <si>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</si>
  <si>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</si>
  <si>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</si>
  <si>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</si>
  <si>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</si>
  <si>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</si>
  <si>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</si>
  <si>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</si>
  <si>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</si>
  <si>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</si>
  <si>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</si>
  <si>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</si>
  <si>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</si>
  <si>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</si>
  <si>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</si>
  <si>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</si>
  <si>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</si>
  <si>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</si>
  <si>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</si>
  <si>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</si>
  <si>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</si>
  <si>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</si>
  <si>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</si>
  <si>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</si>
  <si>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</si>
  <si>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</si>
  <si>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</si>
  <si>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</si>
  <si>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</si>
  <si>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</si>
  <si>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</si>
  <si>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</si>
  <si>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</si>
  <si>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</si>
  <si>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</si>
  <si>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</si>
  <si>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</si>
  <si>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</si>
  <si>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</si>
  <si>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</si>
  <si>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</si>
  <si>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</si>
  <si>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</si>
  <si>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</si>
  <si>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</si>
  <si>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</si>
  <si>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</si>
  <si>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</si>
  <si>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</si>
  <si>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</si>
  <si>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</si>
  <si>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</si>
  <si>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</si>
  <si>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</si>
  <si>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</si>
  <si>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</si>
  <si>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</si>
  <si>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</si>
  <si>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</si>
  <si>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</si>
  <si>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</si>
  <si>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</si>
  <si>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</si>
  <si>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</si>
  <si>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</si>
  <si>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</si>
  <si>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</si>
  <si>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</si>
  <si>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</si>
  <si>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</si>
  <si>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</si>
  <si>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</si>
  <si>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</si>
  <si>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</si>
  <si>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</si>
  <si>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</si>
  <si>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</si>
  <si>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</si>
  <si>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</si>
  <si>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</si>
  <si>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</si>
  <si>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</si>
  <si>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</si>
  <si>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</si>
  <si>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</si>
  <si>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</si>
  <si>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</si>
  <si>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</si>
  <si>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</si>
  <si>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</si>
  <si>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</si>
  <si>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</si>
  <si>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</si>
  <si>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</si>
  <si>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</si>
  <si>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</si>
  <si>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</si>
  <si>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</si>
  <si>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</si>
  <si>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</si>
  <si>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</si>
  <si>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</si>
  <si>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</si>
  <si>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</si>
  <si>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</si>
  <si>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</si>
  <si>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</si>
  <si>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</si>
  <si>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</si>
  <si>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</si>
  <si>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</si>
  <si>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</si>
  <si>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</si>
  <si>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</si>
  <si>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</si>
  <si>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</si>
  <si>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</si>
  <si>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</si>
  <si>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</si>
  <si>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</si>
  <si>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</si>
  <si>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</si>
  <si>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</si>
  <si>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</si>
  <si>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</si>
  <si>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</si>
  <si>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</si>
  <si>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</si>
  <si>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</si>
  <si>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</si>
  <si>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</si>
  <si>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</si>
  <si>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</si>
  <si>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</si>
  <si>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</si>
  <si>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</si>
  <si>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</si>
  <si>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</si>
  <si>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</si>
  <si>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</si>
  <si>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</si>
  <si>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</si>
  <si>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</si>
  <si>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</si>
  <si>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</si>
  <si>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</si>
  <si>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</si>
  <si>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</si>
  <si>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</si>
  <si>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</si>
  <si>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</si>
  <si>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</si>
  <si>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</si>
  <si>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</si>
  <si>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</si>
  <si>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</si>
  <si>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</si>
  <si>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</si>
  <si>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</si>
  <si>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</si>
  <si>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</si>
  <si>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</si>
  <si>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</si>
  <si>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</si>
  <si>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</si>
  <si>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</si>
  <si>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</si>
  <si>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</si>
  <si>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</si>
  <si>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</si>
  <si>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</si>
  <si>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</si>
  <si>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</si>
  <si>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</si>
  <si>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</si>
  <si>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</si>
  <si>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</si>
  <si>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</si>
  <si>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</si>
  <si>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</si>
  <si>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</si>
  <si>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</si>
  <si>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</si>
  <si>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</si>
  <si>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</si>
  <si>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</si>
  <si>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</si>
  <si>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</si>
  <si>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</si>
  <si>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</si>
  <si>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</si>
  <si>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</si>
  <si>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</si>
  <si>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</si>
  <si>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</si>
  <si>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</si>
  <si>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</si>
  <si>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</si>
  <si>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</si>
  <si>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</si>
  <si>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</si>
  <si>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</si>
  <si>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</si>
  <si>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</si>
  <si>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</si>
  <si>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</si>
  <si>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</si>
  <si>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</si>
  <si>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</si>
  <si>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</si>
  <si>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</si>
  <si>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</si>
  <si>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</si>
  <si>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</si>
  <si>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</si>
  <si>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</si>
  <si>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</si>
  <si>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</si>
  <si>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</si>
  <si>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</si>
  <si>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</si>
  <si>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</si>
  <si>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</si>
  <si>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</si>
  <si>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</si>
  <si>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</si>
  <si>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</si>
  <si>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</si>
  <si>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</si>
  <si>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</si>
  <si>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</si>
  <si>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</si>
  <si>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</si>
  <si>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</si>
  <si>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</si>
  <si>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</si>
  <si>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</si>
  <si>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</si>
  <si>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</si>
  <si>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</si>
  <si>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</si>
  <si>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</si>
  <si>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</si>
  <si>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</si>
  <si>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</si>
  <si>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</si>
  <si>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</si>
  <si>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</si>
  <si>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</si>
  <si>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</si>
  <si>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</si>
  <si>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</si>
  <si>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</si>
  <si>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</si>
  <si>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</si>
  <si>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</si>
  <si>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</si>
  <si>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</si>
  <si>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</si>
  <si>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</si>
  <si>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</si>
  <si>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</si>
  <si>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</si>
  <si>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</si>
  <si>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</si>
  <si>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</si>
  <si>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</si>
  <si>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</si>
  <si>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</si>
  <si>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</si>
  <si>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</si>
  <si>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</si>
  <si>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</si>
  <si>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</si>
  <si>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</si>
  <si>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</si>
  <si>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</si>
  <si>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</si>
  <si>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</si>
  <si>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</si>
  <si>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</si>
  <si>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</si>
  <si>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</si>
  <si>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</si>
  <si>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</si>
  <si>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</si>
  <si>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</si>
  <si>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</si>
  <si>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</si>
  <si>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</si>
  <si>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</si>
  <si>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</si>
  <si>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</si>
  <si>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</si>
  <si>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</si>
  <si>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</si>
  <si>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</si>
  <si>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</si>
  <si>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</si>
  <si>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</si>
  <si>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</si>
  <si>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</si>
  <si>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</si>
  <si>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</si>
  <si>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</si>
  <si>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</si>
  <si>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</si>
  <si>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</si>
  <si>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</si>
  <si>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</si>
  <si>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</si>
  <si>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</si>
  <si>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</si>
  <si>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</si>
  <si>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</si>
  <si>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</si>
  <si>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</si>
  <si>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</si>
  <si>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</si>
  <si>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</si>
  <si>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</si>
  <si>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</si>
  <si>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</si>
  <si>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</si>
  <si>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</si>
  <si>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</si>
  <si>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</si>
  <si>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</si>
  <si>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</si>
  <si>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</si>
  <si>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</si>
  <si>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</si>
  <si>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</si>
  <si>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</si>
  <si>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</si>
  <si>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</si>
  <si>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</si>
  <si>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</si>
  <si>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</si>
  <si>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</si>
  <si>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</si>
  <si>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</si>
  <si>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</si>
  <si>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</si>
  <si>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</si>
  <si>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</si>
  <si>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</si>
  <si>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</si>
  <si>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</si>
  <si>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</si>
  <si>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</si>
  <si>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</si>
  <si>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</si>
  <si>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</si>
  <si>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</si>
  <si>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</si>
  <si>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</si>
  <si>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</si>
  <si>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</si>
  <si>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</si>
  <si>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</si>
  <si>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</si>
  <si>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</si>
  <si>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</si>
  <si>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</si>
  <si>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</si>
  <si>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</si>
  <si>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</si>
  <si>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</si>
  <si>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</si>
  <si>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</si>
  <si>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</si>
  <si>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</si>
  <si>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</si>
  <si>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</si>
  <si>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</si>
  <si>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</si>
  <si>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</si>
  <si>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</si>
  <si>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</si>
  <si>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</si>
  <si>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</si>
  <si>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</si>
  <si>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</si>
  <si>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</si>
  <si>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</si>
  <si>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</si>
  <si>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</si>
  <si>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</si>
  <si>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</si>
  <si>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</si>
  <si>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</si>
  <si>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</si>
  <si>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</si>
  <si>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</si>
  <si>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</si>
  <si>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</si>
  <si>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</si>
  <si>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</si>
  <si>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</si>
  <si>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</si>
  <si>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</si>
  <si>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</si>
  <si>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</si>
  <si>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</si>
  <si>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</si>
  <si>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</si>
  <si>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</si>
  <si>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</si>
  <si>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</si>
  <si>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</si>
  <si>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</si>
  <si>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</si>
  <si>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</si>
  <si>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</si>
  <si>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</si>
  <si>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</si>
  <si>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</si>
  <si>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</si>
  <si>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</si>
  <si>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</si>
  <si>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</si>
  <si>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</si>
  <si>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</si>
  <si>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</si>
  <si>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</si>
  <si>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</si>
  <si>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</si>
  <si>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</si>
  <si>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</si>
  <si>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</si>
  <si>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</si>
  <si>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</si>
  <si>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</si>
  <si>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</si>
  <si>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</si>
  <si>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</si>
  <si>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</si>
  <si>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</si>
  <si>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</si>
  <si>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</si>
  <si>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</si>
  <si>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</si>
  <si>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</si>
  <si>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</si>
  <si>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</si>
  <si>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</si>
  <si>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</si>
  <si>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</si>
  <si>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</si>
  <si>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</si>
  <si>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</si>
  <si>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</si>
  <si>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</si>
  <si>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</si>
  <si>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</si>
  <si>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</si>
  <si>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</si>
  <si>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</si>
  <si>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</si>
  <si>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</si>
  <si>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</si>
  <si>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</si>
  <si>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</si>
  <si>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</si>
  <si>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</si>
  <si>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</si>
  <si>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</si>
  <si>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</si>
  <si>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</si>
  <si>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</si>
  <si>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</si>
  <si>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</si>
  <si>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</si>
  <si>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</si>
  <si>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</si>
  <si>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</si>
  <si>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</si>
  <si>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</si>
  <si>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</si>
  <si>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</si>
  <si>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</si>
  <si>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</si>
  <si>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</si>
  <si>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</si>
  <si>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</si>
  <si>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</si>
  <si>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</si>
  <si>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</si>
  <si>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</si>
  <si>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</si>
  <si>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</si>
  <si>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</si>
  <si>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</si>
  <si>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</si>
  <si>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</si>
  <si>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</si>
  <si>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</si>
  <si>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</si>
  <si>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</si>
  <si>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</si>
  <si>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</si>
  <si>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</si>
  <si>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</si>
  <si>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</si>
  <si>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</si>
  <si>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</si>
  <si>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</si>
  <si>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</si>
  <si>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</si>
  <si>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</si>
  <si>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</si>
  <si>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</si>
  <si>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</si>
  <si>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</si>
  <si>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</si>
  <si>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</si>
  <si>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</si>
  <si>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</si>
  <si>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</si>
  <si>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</si>
  <si>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</si>
  <si>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</si>
  <si>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</si>
  <si>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</si>
  <si>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</si>
  <si>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</si>
  <si>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</si>
  <si>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</si>
  <si>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</si>
  <si>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</si>
  <si>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</si>
  <si>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</si>
  <si>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</si>
  <si>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</si>
  <si>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</si>
  <si>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</si>
  <si>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</si>
  <si>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</si>
  <si>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</si>
  <si>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</si>
  <si>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</si>
  <si>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</si>
  <si>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</si>
  <si>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</si>
  <si>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</si>
  <si>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</si>
  <si>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</si>
  <si>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</si>
  <si>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</si>
  <si>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</si>
  <si>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</si>
  <si>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</si>
  <si>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</si>
  <si>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</si>
  <si>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</si>
  <si>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</si>
  <si>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</si>
  <si>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</si>
  <si>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</si>
  <si>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</si>
  <si>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</si>
  <si>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</si>
  <si>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</si>
  <si>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</si>
  <si>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</si>
  <si>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</si>
  <si>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</si>
  <si>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</si>
  <si>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</si>
  <si>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</si>
  <si>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</si>
  <si>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</si>
  <si>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</si>
  <si>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</si>
  <si>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</si>
  <si>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</si>
  <si>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</si>
  <si>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</si>
  <si>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</si>
  <si>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</si>
  <si>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</si>
  <si>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</si>
  <si>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</si>
  <si>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</si>
  <si>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</si>
  <si>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</si>
  <si>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</si>
  <si>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</si>
  <si>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</si>
  <si>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</si>
  <si>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</si>
  <si>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</si>
  <si>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</si>
  <si>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</si>
  <si>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</si>
  <si>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</si>
  <si>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</si>
  <si>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</si>
  <si>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</si>
  <si>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</si>
  <si>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</si>
  <si>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</si>
  <si>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</si>
  <si>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</si>
  <si>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</si>
  <si>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</si>
  <si>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</si>
  <si>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</si>
  <si>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</si>
  <si>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</si>
  <si>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</si>
  <si>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</si>
  <si>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</si>
  <si>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</si>
  <si>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</si>
  <si>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</si>
  <si>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</si>
  <si>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</si>
  <si>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</si>
  <si>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</si>
  <si>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</si>
  <si>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</si>
  <si>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</si>
  <si>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</si>
  <si>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</si>
  <si>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</si>
  <si>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</si>
  <si>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</si>
  <si>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</si>
  <si>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</si>
  <si>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</si>
  <si>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</si>
  <si>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</si>
  <si>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</si>
  <si>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</si>
  <si>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</si>
  <si>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</si>
  <si>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</si>
  <si>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</si>
  <si>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</si>
  <si>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</si>
  <si>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</si>
  <si>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</si>
  <si>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</si>
  <si>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</si>
  <si>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</si>
  <si>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</si>
  <si>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</si>
  <si>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</si>
  <si>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</si>
  <si>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</si>
  <si>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</si>
  <si>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</si>
  <si>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</si>
  <si>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</si>
  <si>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</si>
  <si>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</si>
  <si>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</si>
  <si>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</si>
  <si>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</si>
  <si>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</si>
  <si>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</si>
  <si>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</si>
  <si>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</si>
  <si>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</si>
  <si>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</si>
  <si>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</si>
  <si>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</si>
  <si>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</si>
  <si>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</si>
  <si>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</si>
  <si>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</si>
  <si>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</si>
  <si>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</si>
  <si>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</si>
  <si>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</si>
  <si>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</si>
  <si>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</si>
  <si>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</si>
  <si>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</si>
  <si>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</si>
  <si>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</si>
  <si>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</si>
  <si>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</si>
  <si>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</si>
  <si>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</si>
  <si>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</si>
  <si>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</si>
  <si>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</si>
  <si>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</si>
  <si>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</si>
  <si>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</si>
  <si>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</si>
  <si>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</si>
  <si>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</si>
  <si>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</si>
  <si>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</si>
  <si>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</si>
  <si>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</si>
  <si>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</si>
  <si>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</si>
  <si>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</si>
  <si>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</si>
  <si>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</si>
  <si>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</si>
  <si>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</si>
  <si>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</si>
  <si>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</si>
  <si>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</si>
  <si>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</si>
  <si>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</si>
  <si>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</si>
  <si>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</si>
  <si>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</si>
  <si>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</si>
  <si>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</si>
  <si>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</si>
  <si>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</si>
  <si>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</si>
  <si>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</si>
  <si>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</si>
  <si>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</si>
  <si>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</si>
  <si>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</si>
  <si>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</si>
  <si>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</si>
  <si>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</si>
  <si>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</si>
  <si>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</si>
  <si>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</si>
  <si>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</si>
  <si>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</si>
  <si>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</si>
  <si>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</si>
  <si>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</si>
  <si>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</si>
  <si>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</si>
  <si>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</si>
  <si>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</si>
  <si>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</si>
  <si>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</si>
  <si>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</si>
  <si>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</si>
  <si>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</si>
  <si>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</si>
  <si>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</si>
  <si>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</si>
  <si>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</si>
  <si>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</si>
  <si>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</si>
  <si>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</si>
  <si>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</si>
  <si>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</si>
  <si>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</si>
  <si>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</si>
  <si>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</si>
  <si>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</si>
  <si>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</si>
  <si>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</si>
  <si>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</si>
  <si>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</si>
  <si>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</si>
  <si>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</si>
  <si>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</si>
  <si>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</si>
  <si>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</si>
  <si>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</si>
  <si>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</si>
  <si>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</si>
  <si>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</si>
  <si>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</si>
  <si>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</si>
  <si>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</si>
  <si>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</si>
  <si>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</si>
  <si>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</si>
  <si>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</si>
  <si>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</si>
  <si>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</si>
  <si>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</si>
  <si>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</si>
  <si>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</si>
  <si>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</si>
  <si>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</si>
  <si>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</si>
  <si>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</si>
  <si>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</si>
  <si>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</si>
  <si>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</si>
  <si>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</si>
  <si>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</si>
  <si>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</si>
  <si>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</si>
  <si>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</si>
  <si>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</si>
  <si>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</si>
  <si>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</si>
  <si>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</si>
  <si>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</si>
  <si>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</si>
  <si>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</si>
  <si>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</si>
  <si>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</si>
  <si>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</si>
  <si>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</si>
  <si>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</si>
  <si>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</si>
  <si>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</si>
  <si>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</si>
  <si>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</si>
  <si>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</si>
  <si>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</si>
  <si>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</si>
  <si>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</si>
  <si>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</si>
  <si>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</si>
  <si>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</si>
  <si>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</si>
  <si>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</si>
  <si>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</si>
  <si>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</si>
  <si>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</si>
  <si>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</si>
  <si>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</si>
  <si>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</si>
  <si>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</si>
  <si>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</si>
  <si>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</si>
  <si>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</si>
  <si>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</si>
  <si>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</si>
  <si>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</si>
  <si>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</si>
  <si>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</si>
  <si>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</si>
  <si>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</si>
  <si>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</si>
  <si>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</si>
  <si>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</si>
  <si>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</si>
  <si>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</si>
  <si>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</si>
  <si>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</si>
  <si>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</si>
  <si>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</si>
  <si>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</si>
  <si>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</si>
  <si>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</si>
  <si>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</si>
  <si>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</si>
  <si>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</si>
  <si>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</si>
  <si>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</si>
  <si>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</si>
  <si>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</si>
  <si>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</si>
  <si>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</si>
  <si>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</si>
  <si>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</si>
  <si>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</si>
  <si>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</si>
  <si>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</si>
  <si>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</si>
  <si>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</si>
  <si>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</si>
  <si>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</si>
  <si>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</si>
  <si>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</si>
  <si>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</si>
  <si>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</si>
  <si>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</si>
  <si>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</si>
  <si>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</si>
  <si>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</si>
  <si>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</si>
  <si>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</si>
  <si>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</si>
  <si>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</si>
  <si>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</si>
  <si>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</si>
  <si>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</si>
  <si>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</si>
  <si>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</si>
  <si>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</si>
  <si>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</si>
  <si>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</si>
  <si>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</si>
  <si>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</si>
  <si>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</si>
  <si>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</si>
  <si>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</si>
  <si>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</si>
  <si>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</si>
  <si>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</si>
  <si>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</si>
  <si>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</si>
  <si>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</si>
  <si>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</si>
  <si>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</si>
  <si>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</si>
  <si>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</si>
  <si>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</si>
  <si>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</si>
  <si>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</si>
  <si>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</si>
  <si>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</si>
  <si>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</si>
  <si>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</si>
  <si>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</si>
  <si>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</si>
  <si>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</si>
  <si>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</si>
  <si>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</si>
  <si>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</si>
  <si>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</si>
  <si>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</si>
  <si>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</si>
  <si>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</si>
  <si>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</si>
  <si>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</si>
  <si>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</si>
  <si>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</si>
  <si>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</si>
  <si>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</si>
  <si>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</si>
  <si>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</si>
  <si>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</si>
  <si>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</si>
  <si>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</si>
  <si>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</si>
  <si>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</si>
  <si>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</si>
  <si>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</si>
  <si>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</si>
  <si>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</si>
  <si>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</si>
  <si>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</si>
  <si>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</si>
  <si>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</si>
  <si>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</si>
  <si>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</si>
  <si>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</si>
  <si>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</si>
  <si>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</si>
  <si>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</si>
  <si>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</si>
  <si>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</si>
  <si>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</si>
  <si>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</si>
  <si>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</si>
  <si>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</si>
  <si>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</si>
  <si>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</si>
  <si>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</si>
  <si>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</si>
  <si>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</si>
  <si>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</si>
  <si>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</si>
  <si>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</si>
  <si>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</si>
  <si>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</si>
  <si>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</si>
  <si>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</si>
  <si>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</si>
  <si>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</si>
  <si>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</si>
  <si>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</si>
  <si>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</si>
  <si>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</si>
  <si>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</si>
  <si>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</si>
  <si>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</si>
  <si>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</si>
  <si>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</si>
  <si>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</si>
  <si>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</si>
  <si>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</si>
  <si>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</si>
  <si>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</si>
  <si>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</si>
  <si>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</si>
  <si>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</si>
  <si>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</si>
  <si>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</si>
  <si>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</si>
  <si>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</si>
  <si>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</si>
  <si>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</si>
  <si>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</si>
  <si>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</si>
  <si>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</si>
  <si>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</si>
  <si>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</si>
  <si>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</si>
  <si>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</si>
  <si>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</si>
  <si>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</si>
  <si>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</si>
  <si>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</si>
  <si>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</si>
  <si>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</si>
  <si>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</si>
  <si>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</si>
  <si>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</si>
  <si>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</si>
  <si>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</si>
  <si>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</si>
  <si>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</si>
  <si>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</si>
  <si>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</si>
  <si>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</si>
  <si>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</si>
  <si>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</si>
  <si>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</si>
  <si>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</si>
  <si>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</si>
  <si>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</si>
  <si>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</si>
  <si>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</si>
  <si>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</si>
  <si>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</si>
  <si>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</si>
  <si>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</si>
  <si>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</si>
  <si>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</si>
  <si>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</si>
  <si>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</si>
  <si>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</si>
  <si>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</si>
  <si>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</si>
  <si>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</si>
  <si>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</si>
  <si>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</si>
  <si>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</si>
  <si>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</si>
  <si>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</si>
  <si>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</si>
  <si>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</si>
  <si>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</si>
  <si>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</si>
  <si>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</si>
  <si>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</si>
  <si>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</si>
  <si>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</si>
  <si>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</si>
  <si>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</si>
  <si>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</si>
  <si>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</si>
  <si>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</si>
  <si>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</si>
  <si>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</si>
  <si>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</si>
  <si>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</si>
  <si>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</si>
  <si>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</si>
  <si>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</si>
  <si>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</si>
  <si>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</si>
  <si>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</si>
  <si>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</si>
  <si>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</si>
  <si>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</si>
  <si>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</si>
  <si>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</si>
  <si>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</si>
  <si>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</si>
  <si>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</si>
  <si>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</si>
  <si>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</si>
  <si>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</si>
  <si>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</si>
  <si>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</si>
  <si>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</si>
  <si>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</si>
  <si>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</si>
  <si>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</si>
  <si>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</si>
  <si>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</si>
  <si>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</si>
  <si>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</si>
  <si>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</si>
  <si>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</si>
  <si>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</si>
  <si>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</si>
  <si>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</si>
  <si>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</si>
  <si>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</si>
  <si>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</si>
  <si>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</si>
  <si>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</si>
  <si>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</si>
  <si>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</si>
  <si>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</si>
  <si>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</si>
  <si>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</si>
  <si>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</si>
  <si>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</si>
  <si>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</si>
  <si>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</si>
  <si>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</si>
  <si>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</si>
  <si>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</si>
  <si>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</si>
  <si>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</si>
  <si>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</si>
  <si>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</si>
  <si>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</si>
  <si>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</si>
  <si>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</si>
  <si>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</si>
  <si>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</si>
  <si>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</si>
  <si>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</si>
  <si>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</si>
  <si>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</si>
  <si>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</si>
  <si>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</si>
  <si>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</si>
  <si>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</si>
  <si>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</si>
  <si>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</si>
  <si>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</si>
  <si>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</si>
  <si>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</si>
  <si>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</si>
  <si>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</si>
  <si>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</si>
  <si>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</si>
  <si>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</si>
  <si>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</si>
  <si>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</si>
  <si>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</si>
  <si>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</si>
  <si>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</si>
  <si>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</si>
  <si>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</si>
  <si>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</si>
  <si>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</si>
  <si>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</si>
  <si>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</si>
  <si>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</si>
  <si>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</si>
  <si>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</si>
  <si>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</si>
  <si>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</si>
  <si>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</si>
  <si>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</si>
  <si>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</si>
  <si>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</si>
  <si>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</si>
  <si>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</si>
  <si>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</si>
  <si>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</si>
  <si>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</si>
  <si>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</si>
  <si>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</si>
  <si>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</si>
  <si>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</si>
  <si>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</si>
  <si>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</si>
  <si>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</si>
  <si>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</si>
  <si>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</si>
  <si>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</si>
  <si>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</si>
  <si>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</si>
  <si>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</si>
  <si>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</si>
  <si>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</si>
  <si>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</si>
  <si>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</si>
  <si>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</si>
  <si>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</si>
  <si>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</si>
  <si>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</si>
  <si>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</si>
  <si>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</si>
  <si>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</si>
  <si>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</si>
  <si>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</si>
  <si>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</si>
  <si>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</si>
  <si>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</si>
  <si>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</si>
  <si>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</si>
  <si>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</si>
  <si>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</si>
  <si>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</si>
  <si>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</si>
  <si>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</si>
  <si>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</si>
  <si>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</si>
  <si>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</si>
  <si>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</si>
  <si>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</si>
  <si>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</si>
  <si>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</si>
  <si>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</si>
  <si>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</si>
  <si>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</si>
  <si>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</si>
  <si>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</si>
  <si>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</si>
  <si>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</si>
  <si>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</si>
  <si>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</si>
  <si>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</si>
  <si>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</si>
  <si>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</si>
  <si>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</si>
  <si>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</si>
  <si>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</si>
  <si>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</si>
  <si>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</si>
  <si>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</si>
  <si>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</si>
  <si>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</si>
  <si>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</si>
  <si>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</si>
  <si>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</si>
  <si>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</si>
  <si>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</si>
  <si>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</si>
  <si>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</si>
  <si>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</si>
  <si>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</si>
  <si>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</si>
  <si>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</si>
  <si>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</si>
  <si>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</si>
  <si>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</si>
  <si>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</si>
  <si>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</si>
  <si>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</si>
  <si>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</si>
  <si>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</si>
  <si>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</si>
  <si>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</si>
  <si>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</si>
  <si>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</si>
  <si>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</si>
  <si>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</si>
  <si>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</si>
  <si>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</si>
  <si>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</si>
  <si>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</si>
  <si>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</si>
  <si>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</si>
  <si>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</si>
  <si>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</si>
  <si>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</si>
  <si>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</si>
  <si>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</si>
  <si>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</si>
  <si>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</si>
  <si>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</si>
  <si>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</si>
  <si>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</si>
  <si>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</si>
  <si>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</si>
  <si>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</si>
  <si>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</si>
  <si>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</si>
  <si>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</si>
  <si>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</si>
  <si>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</si>
  <si>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</si>
  <si>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</si>
  <si>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</si>
  <si>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</si>
  <si>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</si>
  <si>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</si>
  <si>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</si>
  <si>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</si>
  <si>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</si>
  <si>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</si>
  <si>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</si>
  <si>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</si>
  <si>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</si>
  <si>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</si>
  <si>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</si>
  <si>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</si>
  <si>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</si>
  <si>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</si>
  <si>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</si>
  <si>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</si>
  <si>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</si>
  <si>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</si>
  <si>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</si>
  <si>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</si>
  <si>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</si>
  <si>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</si>
  <si>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</si>
  <si>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</si>
  <si>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</si>
  <si>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</si>
  <si>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</si>
  <si>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</si>
  <si>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</si>
  <si>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</si>
  <si>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</si>
  <si>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</si>
  <si>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</si>
  <si>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</si>
  <si>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</si>
  <si>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</si>
  <si>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</si>
  <si>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</si>
  <si>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</si>
  <si>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</si>
  <si>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</si>
  <si>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</si>
  <si>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</si>
  <si>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</si>
  <si>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</si>
  <si>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</si>
  <si>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</si>
  <si>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</si>
  <si>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</si>
  <si>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</si>
  <si>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</si>
  <si>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</si>
  <si>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</si>
  <si>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</si>
  <si>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</si>
  <si>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</si>
  <si>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</si>
  <si>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</si>
  <si>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</si>
  <si>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</si>
  <si>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</si>
  <si>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</si>
  <si>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</si>
  <si>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</si>
  <si>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</si>
  <si>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</si>
  <si>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</si>
  <si>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</si>
  <si>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</si>
  <si>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</si>
  <si>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</si>
  <si>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</si>
  <si>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</si>
  <si>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</si>
  <si>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</si>
  <si>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</si>
  <si>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</si>
  <si>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</si>
  <si>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</si>
  <si>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</si>
  <si>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</si>
  <si>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</si>
  <si>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</si>
  <si>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</si>
  <si>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</si>
  <si>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</si>
  <si>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</si>
  <si>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</si>
  <si>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</si>
  <si>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</si>
  <si>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</si>
  <si>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</si>
  <si>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</si>
  <si>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</si>
  <si>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</si>
  <si>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</si>
  <si>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</si>
  <si>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</si>
  <si>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</si>
  <si>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</si>
  <si>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</si>
  <si>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</si>
  <si>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</si>
  <si>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</si>
  <si>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</si>
  <si>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</si>
  <si>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</si>
  <si>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</si>
  <si>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</si>
  <si>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</si>
  <si>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</si>
  <si>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</si>
  <si>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</si>
  <si>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</si>
  <si>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</si>
  <si>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</si>
  <si>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</si>
  <si>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</si>
  <si>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</si>
  <si>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</si>
  <si>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</si>
  <si>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</si>
  <si>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</si>
  <si>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</si>
  <si>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</si>
  <si>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</si>
  <si>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</si>
  <si>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</si>
  <si>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</si>
  <si>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</si>
  <si>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</si>
  <si>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</si>
  <si>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</si>
  <si>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</si>
  <si>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</si>
  <si>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</si>
  <si>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</si>
  <si>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</si>
  <si>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</si>
  <si>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</si>
  <si>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</si>
  <si>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</si>
  <si>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</si>
  <si>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</si>
  <si>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</si>
  <si>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</si>
  <si>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</si>
  <si>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</si>
  <si>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</si>
  <si>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</si>
  <si>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</si>
  <si>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</si>
  <si>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</si>
  <si>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</si>
  <si>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</si>
  <si>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</si>
  <si>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</si>
  <si>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</si>
  <si>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</si>
  <si>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</si>
  <si>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</si>
  <si>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</si>
  <si>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</si>
  <si>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</si>
  <si>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</si>
  <si>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</si>
  <si>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</si>
  <si>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</si>
  <si>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</si>
  <si>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</si>
  <si>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</si>
  <si>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</si>
  <si>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</si>
  <si>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</si>
  <si>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</si>
  <si>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</si>
  <si>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</si>
  <si>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</si>
  <si>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</si>
  <si>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</si>
  <si>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</si>
  <si>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</si>
  <si>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</si>
  <si>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</si>
  <si>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</si>
  <si>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</si>
  <si>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</si>
  <si>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</si>
  <si>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</si>
  <si>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</si>
  <si>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</si>
  <si>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</si>
  <si>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</si>
  <si>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</si>
  <si>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</si>
  <si>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</si>
  <si>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</si>
  <si>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</si>
  <si>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</si>
  <si>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</si>
  <si>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</si>
  <si>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</si>
  <si>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</si>
  <si>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</si>
  <si>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</si>
  <si>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</si>
  <si>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</si>
  <si>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</si>
  <si>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</si>
  <si>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</si>
  <si>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</si>
  <si>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</si>
  <si>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</si>
  <si>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</si>
  <si>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</si>
  <si>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</si>
  <si>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</si>
  <si>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</si>
  <si>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</si>
  <si>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</si>
  <si>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</si>
  <si>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</si>
  <si>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</si>
  <si>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</si>
  <si>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</si>
  <si>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</si>
  <si>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</si>
  <si>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</si>
  <si>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</si>
  <si>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</si>
  <si>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</si>
  <si>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</si>
  <si>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</si>
  <si>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</si>
  <si>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</si>
  <si>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</si>
  <si>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</si>
  <si>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</si>
  <si>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</si>
  <si>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</si>
  <si>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</si>
  <si>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</si>
  <si>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</si>
  <si>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</si>
  <si>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</si>
  <si>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</si>
  <si>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</si>
  <si>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</si>
  <si>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</si>
  <si>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</si>
  <si>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</si>
  <si>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</si>
  <si>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</si>
  <si>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</si>
  <si>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</si>
  <si>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</si>
  <si>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</si>
  <si>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</si>
  <si>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</si>
  <si>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</si>
  <si>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</si>
  <si>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</si>
  <si>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</si>
  <si>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</si>
  <si>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</si>
  <si>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</si>
  <si>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</si>
  <si>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</si>
  <si>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</si>
  <si>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</si>
  <si>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</si>
  <si>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</si>
  <si>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</si>
  <si>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</si>
  <si>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</si>
  <si>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</si>
  <si>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</si>
  <si>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</si>
  <si>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</si>
  <si>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</si>
  <si>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</si>
  <si>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</si>
  <si>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</si>
  <si>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</si>
  <si>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</si>
  <si>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</si>
  <si>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</si>
  <si>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</si>
  <si>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</si>
  <si>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</si>
  <si>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</si>
  <si>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</si>
  <si>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</si>
  <si>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</si>
  <si>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</si>
  <si>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</si>
  <si>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</si>
  <si>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</si>
  <si>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</si>
  <si>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</si>
  <si>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</si>
  <si>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</si>
  <si>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</si>
  <si>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</si>
  <si>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</si>
  <si>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</si>
  <si>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</si>
  <si>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</si>
  <si>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</si>
  <si>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</si>
  <si>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</si>
  <si>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</si>
  <si>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</si>
  <si>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</si>
  <si>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</si>
  <si>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</si>
  <si>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</si>
  <si>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</si>
  <si>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</si>
  <si>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</si>
  <si>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</si>
  <si>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</si>
  <si>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</si>
  <si>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</si>
  <si>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</si>
  <si>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</si>
  <si>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</si>
  <si>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</si>
  <si>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</si>
  <si>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</si>
  <si>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</si>
  <si>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</si>
  <si>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</si>
  <si>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</si>
  <si>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</si>
  <si>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</si>
  <si>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</si>
  <si>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</si>
  <si>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</si>
  <si>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</si>
  <si>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</si>
  <si>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</si>
  <si>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</si>
  <si>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</si>
  <si>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</si>
  <si>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</si>
  <si>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</si>
  <si>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</si>
  <si>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</si>
  <si>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</si>
  <si>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</si>
  <si>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</si>
  <si>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</si>
  <si>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</si>
  <si>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</si>
  <si>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</si>
  <si>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</si>
  <si>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</si>
  <si>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</si>
  <si>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</si>
  <si>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</si>
  <si>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</si>
  <si>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</si>
  <si>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</si>
  <si>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</si>
  <si>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</si>
  <si>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</si>
  <si>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</si>
  <si>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</si>
  <si>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</si>
  <si>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</si>
  <si>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</si>
  <si>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</si>
  <si>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</si>
  <si>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</si>
  <si>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</si>
  <si>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</si>
  <si>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</si>
  <si>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</si>
  <si>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</si>
  <si>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</si>
  <si>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</si>
  <si>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</si>
  <si>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</si>
  <si>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</si>
  <si>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</si>
  <si>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</si>
  <si>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</si>
  <si>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</si>
  <si>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</si>
  <si>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</si>
  <si>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</si>
  <si>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</si>
  <si>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</si>
  <si>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</si>
  <si>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</si>
  <si>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</si>
  <si>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</si>
  <si>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</si>
  <si>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</si>
  <si>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</si>
  <si>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</si>
  <si>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</si>
  <si>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</si>
  <si>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</si>
  <si>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</si>
  <si>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</si>
  <si>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</si>
  <si>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</si>
  <si>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</si>
  <si>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</si>
  <si>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</si>
  <si>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</si>
  <si>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</si>
  <si>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</si>
  <si>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</si>
  <si>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</si>
  <si>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</si>
  <si>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</si>
  <si>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</si>
  <si>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</si>
  <si>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</si>
  <si>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</si>
  <si>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</si>
  <si>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</si>
  <si>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</si>
  <si>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</si>
  <si>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</si>
  <si>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</si>
  <si>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</si>
  <si>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</si>
  <si>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</si>
  <si>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</si>
  <si>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</si>
  <si>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</si>
  <si>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</si>
  <si>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</si>
  <si>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</si>
  <si>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</si>
  <si>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</si>
  <si>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</si>
  <si>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</si>
  <si>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</si>
  <si>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</si>
  <si>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</si>
  <si>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</si>
  <si>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</si>
  <si>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</si>
  <si>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</si>
  <si>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</si>
  <si>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</si>
  <si>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</si>
  <si>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</si>
  <si>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</si>
  <si>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</si>
  <si>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</si>
  <si>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</si>
  <si>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</si>
  <si>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</si>
  <si>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</si>
  <si>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</si>
  <si>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</si>
  <si>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</si>
  <si>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</si>
  <si>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</si>
  <si>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</si>
  <si>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</si>
  <si>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</si>
  <si>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</si>
  <si>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</si>
  <si>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</si>
  <si>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</si>
  <si>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</si>
  <si>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</si>
  <si>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</si>
  <si>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</si>
  <si>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</si>
  <si>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</si>
  <si>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</si>
  <si>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</si>
  <si>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</si>
  <si>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</si>
  <si>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</si>
  <si>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</si>
  <si>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</si>
  <si>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</si>
  <si>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</si>
  <si>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</si>
  <si>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</si>
  <si>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</si>
  <si>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</si>
  <si>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</si>
  <si>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</si>
  <si>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</si>
  <si>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</si>
  <si>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</si>
  <si>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</si>
  <si>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</si>
  <si>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</si>
  <si>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</si>
  <si>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</si>
  <si>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</si>
  <si>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</si>
  <si>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</si>
  <si>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</si>
  <si>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</si>
  <si>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</si>
  <si>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</si>
  <si>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</si>
  <si>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</si>
  <si>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</si>
  <si>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</si>
  <si>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</si>
  <si>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</si>
  <si>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</si>
  <si>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</si>
  <si>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</si>
  <si>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</si>
  <si>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</si>
  <si>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</si>
  <si>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</si>
  <si>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</si>
  <si>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</si>
  <si>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</si>
  <si>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</si>
  <si>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</si>
  <si>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</si>
  <si>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</si>
  <si>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</si>
  <si>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</si>
  <si>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</si>
  <si>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</si>
  <si>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</si>
  <si>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</si>
  <si>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</si>
  <si>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</si>
  <si>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</si>
  <si>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</si>
  <si>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</si>
  <si>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</si>
  <si>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</si>
  <si>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</si>
  <si>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</si>
  <si>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</si>
  <si>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</si>
  <si>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</si>
  <si>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</si>
  <si>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</si>
  <si>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</si>
  <si>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</si>
  <si>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</si>
  <si>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</si>
  <si>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</si>
  <si>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</si>
  <si>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</si>
  <si>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</si>
  <si>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</si>
  <si>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</si>
  <si>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</si>
  <si>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</si>
  <si>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</si>
  <si>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</si>
  <si>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</si>
  <si>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</si>
  <si>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</si>
  <si>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</si>
  <si>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</si>
  <si>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</si>
  <si>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</si>
  <si>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</si>
  <si>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</si>
  <si>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</si>
  <si>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</si>
  <si>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</si>
  <si>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</si>
  <si>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</si>
  <si>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</si>
  <si>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</si>
  <si>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</si>
  <si>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</si>
  <si>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</si>
  <si>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</si>
  <si>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</si>
  <si>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</si>
  <si>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</si>
  <si>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</si>
  <si>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</si>
  <si>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</si>
  <si>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</si>
  <si>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</si>
  <si>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</si>
  <si>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</si>
  <si>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</si>
  <si>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</si>
  <si>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</si>
  <si>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</si>
  <si>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</si>
  <si>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</si>
  <si>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</si>
  <si>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</si>
  <si>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</si>
  <si>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</si>
  <si>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</si>
  <si>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</si>
  <si>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</si>
  <si>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</si>
  <si>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</si>
  <si>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</si>
  <si>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</si>
  <si>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</si>
  <si>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</si>
  <si>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</si>
  <si>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</si>
  <si>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</si>
  <si>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</si>
  <si>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</si>
  <si>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</si>
  <si>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</si>
  <si>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</si>
  <si>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</si>
  <si>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</si>
  <si>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</si>
  <si>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</si>
  <si>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</si>
  <si>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</si>
  <si>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</si>
  <si>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</si>
  <si>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</si>
  <si>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</si>
  <si>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</si>
  <si>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</si>
  <si>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</si>
  <si>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</si>
  <si>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</si>
  <si>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</si>
  <si>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</si>
  <si>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</si>
  <si>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</si>
  <si>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</si>
  <si>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</si>
  <si>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</si>
  <si>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</si>
  <si>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</si>
  <si>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</si>
  <si>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</si>
  <si>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</si>
  <si>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</si>
  <si>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</si>
  <si>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</si>
  <si>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</si>
  <si>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</si>
  <si>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</si>
  <si>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</si>
  <si>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</si>
  <si>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</si>
  <si>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</si>
  <si>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</si>
  <si>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</si>
  <si>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</si>
  <si>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</si>
  <si>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</si>
  <si>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</si>
  <si>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</si>
  <si>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</si>
  <si>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</si>
  <si>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</si>
  <si>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</si>
  <si>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</si>
  <si>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</si>
  <si>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</si>
  <si>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</si>
  <si>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</si>
  <si>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</si>
  <si>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</si>
  <si>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</si>
  <si>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</si>
  <si>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</si>
  <si>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</si>
  <si>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</si>
  <si>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</si>
  <si>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</si>
  <si>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</si>
  <si>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</si>
  <si>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</si>
  <si>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</si>
  <si>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</si>
  <si>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</si>
  <si>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</si>
  <si>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</si>
  <si>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</si>
  <si>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</si>
  <si>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</si>
  <si>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</si>
  <si>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</si>
  <si>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</si>
  <si>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</si>
  <si>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</si>
  <si>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</si>
  <si>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</si>
  <si>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</si>
  <si>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</si>
  <si>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</si>
  <si>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</si>
  <si>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</si>
  <si>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</si>
  <si>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</si>
  <si>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</si>
  <si>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</si>
  <si>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</si>
  <si>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</si>
  <si>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</si>
  <si>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</si>
  <si>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</si>
  <si>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</si>
  <si>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</si>
  <si>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</si>
  <si>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</si>
  <si>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</si>
  <si>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</si>
  <si>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</si>
  <si>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</si>
  <si>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</si>
  <si>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</si>
  <si>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</si>
  <si>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</si>
  <si>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</si>
  <si>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</si>
  <si>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</si>
  <si>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</si>
  <si>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</si>
  <si>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</si>
  <si>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</si>
  <si>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</si>
  <si>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</si>
  <si>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</si>
  <si>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</si>
  <si>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</si>
  <si>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</si>
  <si>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</si>
  <si>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</si>
  <si>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</si>
  <si>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</si>
  <si>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</si>
  <si>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</si>
  <si>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</si>
  <si>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</si>
  <si>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</si>
  <si>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</si>
  <si>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</si>
  <si>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</si>
  <si>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</si>
  <si>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</si>
  <si>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</si>
  <si>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</si>
  <si>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</si>
  <si>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</si>
  <si>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</si>
  <si>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</si>
  <si>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</si>
  <si>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</si>
  <si>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</si>
  <si>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</si>
  <si>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</si>
  <si>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</si>
  <si>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</si>
  <si>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</si>
  <si>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</si>
  <si>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</si>
  <si>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</si>
  <si>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</si>
  <si>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</si>
  <si>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</si>
  <si>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</si>
  <si>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</si>
  <si>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</si>
  <si>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</si>
  <si>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</si>
  <si>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</si>
  <si>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</si>
  <si>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</si>
  <si>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</si>
  <si>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</si>
  <si>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</si>
  <si>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</si>
  <si>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</si>
  <si>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</si>
  <si>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</si>
  <si>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</si>
  <si>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</si>
  <si>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</si>
  <si>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</si>
  <si>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</si>
  <si>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</si>
  <si>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</si>
  <si>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</si>
  <si>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</si>
  <si>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</si>
  <si>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</si>
  <si>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</si>
  <si>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</si>
  <si>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</si>
  <si>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</si>
  <si>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</si>
  <si>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</si>
  <si>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</si>
  <si>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</si>
  <si>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</si>
  <si>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</si>
  <si>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</si>
  <si>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</si>
  <si>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</si>
  <si>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</si>
  <si>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</si>
  <si>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</si>
  <si>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</si>
  <si>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</si>
  <si>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</si>
  <si>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</si>
  <si>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</si>
  <si>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</si>
  <si>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</si>
  <si>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</si>
  <si>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</si>
  <si>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</si>
  <si>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</si>
  <si>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</si>
  <si>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</si>
  <si>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</si>
  <si>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</si>
  <si>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</si>
  <si>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</si>
  <si>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</si>
  <si>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</si>
  <si>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</si>
  <si>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</si>
  <si>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</si>
  <si>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</si>
  <si>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</si>
  <si>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</si>
  <si>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</si>
  <si>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</si>
  <si>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</si>
  <si>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</si>
  <si>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</si>
  <si>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</si>
  <si>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</si>
  <si>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</si>
  <si>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</si>
  <si>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</si>
  <si>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</si>
  <si>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</si>
  <si>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</si>
  <si>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</si>
  <si>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</si>
  <si>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</si>
  <si>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</si>
  <si>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</si>
  <si>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</si>
  <si>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</si>
  <si>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</si>
  <si>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</si>
  <si>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</si>
  <si>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</si>
  <si>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</si>
  <si>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</si>
  <si>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</si>
  <si>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</si>
  <si>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</si>
  <si>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</si>
  <si>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</si>
  <si>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</si>
  <si>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</si>
  <si>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</si>
  <si>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</si>
  <si>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</si>
  <si>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</si>
  <si>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</si>
  <si>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</si>
  <si>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</si>
  <si>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</si>
  <si>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</si>
  <si>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</si>
  <si>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</si>
  <si>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</si>
  <si>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</si>
  <si>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</si>
  <si>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</si>
  <si>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</si>
  <si>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</si>
  <si>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</si>
  <si>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</si>
  <si>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</si>
  <si>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</si>
  <si>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</si>
  <si>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</si>
  <si>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</si>
  <si>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</si>
  <si>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</si>
  <si>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</si>
  <si>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</si>
  <si>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</si>
  <si>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</si>
  <si>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</si>
  <si>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</si>
  <si>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</si>
  <si>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</si>
  <si>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</si>
  <si>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</si>
  <si>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</si>
  <si>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</si>
  <si>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</si>
  <si>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</si>
  <si>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</si>
  <si>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</si>
  <si>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</si>
  <si>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</si>
  <si>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</si>
  <si>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</si>
  <si>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</si>
  <si>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</si>
  <si>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</si>
  <si>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</si>
  <si>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</si>
  <si>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</si>
  <si>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</si>
  <si>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</si>
  <si>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</si>
  <si>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</si>
  <si>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</si>
  <si>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</si>
  <si>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</si>
  <si>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</si>
  <si>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</si>
  <si>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</si>
  <si>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</si>
  <si>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</si>
  <si>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</si>
  <si>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</si>
  <si>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</si>
  <si>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</si>
  <si>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</si>
  <si>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</si>
  <si>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</si>
  <si>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</si>
  <si>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</si>
  <si>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</si>
  <si>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</si>
  <si>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</si>
  <si>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</si>
  <si>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</si>
  <si>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</si>
  <si>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</si>
  <si>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</si>
  <si>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</si>
  <si>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</si>
  <si>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</si>
  <si>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</si>
  <si>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</si>
  <si>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</si>
  <si>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</si>
  <si>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</si>
  <si>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</si>
  <si>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</si>
  <si>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</si>
  <si>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</si>
  <si>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</si>
  <si>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</si>
  <si>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</si>
  <si>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</si>
  <si>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</si>
  <si>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</si>
  <si>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</si>
  <si>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</si>
  <si>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</si>
  <si>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</si>
  <si>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</si>
  <si>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</si>
  <si>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</si>
  <si>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</si>
  <si>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</si>
  <si>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</si>
  <si>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</si>
  <si>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</si>
  <si>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</si>
  <si>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</si>
  <si>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</si>
  <si>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</si>
  <si>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</si>
  <si>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</si>
  <si>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</si>
  <si>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</si>
  <si>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</si>
  <si>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</si>
  <si>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</si>
  <si>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</si>
  <si>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</si>
  <si>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</si>
  <si>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</si>
  <si>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</si>
  <si>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</si>
  <si>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</si>
  <si>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</si>
  <si>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</si>
  <si>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</si>
  <si>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</si>
  <si>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</si>
  <si>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</si>
  <si>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</si>
  <si>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</si>
  <si>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</si>
  <si>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</si>
  <si>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</si>
  <si>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</si>
  <si>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</si>
  <si>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</si>
  <si>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</si>
  <si>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</si>
  <si>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</si>
  <si>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</si>
  <si>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</si>
  <si>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</si>
  <si>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</si>
  <si>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</si>
  <si>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</si>
  <si>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</si>
  <si>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</si>
  <si>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</si>
  <si>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</si>
  <si>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</si>
  <si>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</si>
  <si>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</si>
  <si>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</si>
  <si>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</si>
  <si>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</si>
  <si>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</si>
  <si>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</si>
  <si>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</si>
  <si>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</si>
  <si>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</si>
  <si>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</si>
  <si>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</si>
  <si>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</si>
  <si>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</si>
  <si>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</si>
  <si>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</si>
  <si>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</si>
  <si>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</si>
  <si>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</si>
  <si>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</si>
  <si>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</si>
  <si>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</si>
  <si>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</si>
  <si>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</si>
  <si>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</si>
  <si>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</si>
  <si>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</si>
  <si>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</si>
  <si>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</si>
  <si>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</si>
  <si>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</si>
  <si>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</si>
  <si>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</si>
  <si>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</si>
  <si>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</si>
  <si>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</si>
  <si>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</si>
  <si>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</si>
  <si>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</si>
  <si>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</si>
  <si>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</si>
  <si>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</si>
  <si>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</si>
  <si>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</si>
  <si>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</si>
  <si>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</si>
  <si>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</si>
  <si>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</si>
  <si>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</si>
  <si>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</si>
  <si>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</si>
  <si>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</si>
  <si>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</si>
  <si>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</si>
  <si>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</si>
  <si>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</si>
  <si>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</si>
  <si>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</si>
  <si>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</si>
  <si>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</si>
  <si>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</si>
  <si>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</si>
  <si>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</si>
  <si>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</si>
  <si>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</si>
  <si>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</si>
  <si>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</si>
  <si>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</si>
  <si>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</si>
  <si>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</si>
  <si>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</si>
  <si>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</si>
  <si>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</si>
  <si>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</si>
  <si>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</si>
  <si>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</si>
  <si>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</si>
  <si>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</si>
  <si>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</si>
  <si>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</si>
  <si>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</si>
  <si>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</si>
  <si>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</si>
  <si>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</si>
  <si>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</si>
  <si>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</si>
  <si>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</si>
  <si>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</si>
  <si>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</si>
  <si>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</si>
  <si>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</si>
  <si>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</si>
  <si>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</si>
  <si>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</si>
  <si>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</si>
  <si>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</si>
  <si>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</si>
  <si>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</si>
  <si>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</si>
  <si>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</si>
  <si>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</si>
  <si>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</si>
  <si>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</si>
  <si>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</si>
  <si>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</si>
  <si>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</si>
  <si>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</si>
  <si>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</si>
  <si>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</si>
  <si>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</si>
  <si>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</si>
  <si>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</si>
  <si>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</si>
  <si>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</si>
  <si>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</si>
  <si>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</si>
  <si>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</si>
  <si>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</si>
  <si>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</si>
  <si>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</si>
  <si>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</si>
  <si>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</si>
  <si>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</si>
  <si>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</si>
  <si>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</si>
  <si>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</si>
  <si>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</si>
  <si>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</si>
  <si>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</si>
  <si>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</si>
  <si>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</si>
  <si>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</si>
  <si>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</si>
  <si>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</si>
  <si>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</si>
  <si>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</si>
  <si>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</si>
  <si>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</si>
  <si>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</si>
  <si>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</si>
  <si>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</si>
  <si>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</si>
  <si>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</si>
  <si>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</si>
  <si>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</si>
  <si>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</si>
  <si>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</si>
  <si>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</si>
  <si>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</si>
  <si>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</si>
  <si>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</si>
  <si>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</si>
  <si>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</si>
  <si>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</si>
  <si>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</si>
  <si>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</si>
  <si>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</si>
  <si>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</si>
  <si>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</si>
  <si>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</si>
  <si>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</si>
  <si>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</si>
  <si>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</si>
  <si>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</si>
  <si>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</si>
  <si>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</si>
  <si>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</si>
  <si>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</si>
  <si>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</si>
  <si>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</si>
  <si>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</si>
  <si>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</si>
  <si>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</si>
  <si>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</si>
  <si>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</si>
  <si>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</si>
  <si>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</si>
  <si>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</si>
  <si>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</si>
  <si>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</si>
  <si>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</si>
  <si>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</si>
  <si>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</si>
  <si>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</si>
  <si>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</si>
  <si>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</si>
  <si>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</si>
  <si>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</si>
  <si>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</si>
  <si>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</si>
  <si>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</si>
  <si>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</si>
  <si>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</si>
  <si>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</si>
  <si>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</si>
  <si>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</si>
  <si>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</si>
  <si>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</si>
  <si>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</si>
  <si>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</si>
  <si>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</si>
  <si>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</si>
  <si>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</si>
  <si>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</si>
  <si>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</si>
  <si>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</si>
  <si>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</si>
  <si>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</si>
  <si>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</si>
  <si>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</si>
  <si>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</si>
  <si>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</si>
  <si>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</si>
  <si>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</si>
  <si>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</si>
  <si>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</si>
  <si>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</si>
  <si>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</si>
  <si>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</si>
  <si>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</si>
  <si>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</si>
  <si>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</si>
  <si>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</si>
  <si>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</si>
  <si>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</si>
  <si>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</si>
  <si>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</si>
  <si>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</si>
  <si>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</si>
  <si>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</si>
  <si>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</si>
  <si>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</si>
  <si>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</si>
  <si>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</si>
  <si>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</si>
  <si>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</si>
  <si>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</si>
  <si>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</si>
  <si>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</si>
  <si>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</si>
  <si>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</si>
  <si>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</si>
  <si>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</si>
  <si>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</si>
  <si>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</si>
  <si>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</si>
  <si>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</si>
  <si>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</si>
  <si>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</si>
  <si>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</si>
  <si>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</si>
  <si>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</si>
  <si>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</si>
  <si>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</si>
  <si>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</si>
  <si>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</si>
  <si>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</si>
  <si>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</si>
  <si>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</si>
  <si>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</si>
  <si>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</si>
  <si>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</si>
  <si>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</si>
  <si>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</si>
  <si>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</si>
  <si>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</si>
  <si>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</si>
  <si>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</si>
  <si>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</si>
  <si>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</si>
  <si>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</si>
  <si>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</si>
  <si>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</si>
  <si>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</si>
  <si>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</si>
  <si>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</si>
  <si>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</si>
  <si>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</si>
  <si>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</si>
  <si>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</si>
  <si>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</si>
  <si>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</si>
  <si>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</si>
  <si>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</si>
  <si>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</si>
  <si>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</si>
  <si>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</si>
  <si>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</si>
  <si>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</si>
  <si>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</si>
  <si>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</si>
  <si>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</si>
  <si>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</si>
  <si>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</si>
  <si>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</si>
  <si>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</si>
  <si>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</si>
  <si>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</si>
  <si>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</si>
  <si>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</si>
  <si>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</si>
  <si>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</si>
  <si>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</si>
  <si>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</si>
  <si>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</si>
  <si>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</si>
  <si>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</si>
  <si>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</si>
  <si>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</si>
  <si>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</si>
  <si>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</si>
  <si>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</si>
  <si>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</si>
  <si>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</si>
  <si>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</si>
  <si>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</si>
  <si>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</si>
  <si>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</si>
  <si>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</si>
  <si>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</si>
  <si>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</si>
  <si>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</si>
  <si>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</si>
  <si>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</si>
  <si>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</si>
  <si>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</si>
  <si>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</si>
  <si>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</si>
  <si>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</si>
  <si>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</si>
  <si>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</si>
  <si>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</si>
  <si>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</si>
  <si>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</si>
  <si>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</si>
  <si>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</si>
  <si>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</si>
  <si>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</si>
  <si>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</si>
  <si>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</si>
  <si>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</si>
  <si>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</si>
  <si>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</si>
  <si>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</si>
  <si>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</si>
  <si>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</si>
  <si>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</si>
  <si>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</si>
  <si>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</si>
  <si>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</si>
  <si>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</si>
  <si>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</si>
  <si>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</si>
  <si>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</si>
  <si>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</si>
  <si>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</si>
  <si>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</si>
  <si>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</si>
  <si>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</si>
  <si>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</si>
  <si>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</si>
  <si>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</si>
  <si>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</si>
  <si>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</si>
  <si>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</si>
  <si>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</si>
  <si>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</si>
  <si>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</si>
  <si>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</si>
  <si>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</si>
  <si>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</si>
  <si>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</si>
  <si>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</si>
  <si>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</si>
  <si>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</si>
  <si>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</si>
  <si>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</si>
  <si>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</si>
  <si>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</si>
  <si>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</si>
  <si>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</si>
  <si>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</si>
  <si>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</si>
  <si>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</si>
  <si>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</si>
  <si>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</si>
  <si>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</si>
  <si>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</si>
  <si>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</si>
  <si>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</si>
  <si>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</si>
  <si>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</si>
  <si>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</si>
  <si>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</si>
  <si>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</si>
  <si>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</si>
  <si>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</si>
  <si>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</si>
  <si>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</si>
  <si>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</si>
  <si>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</si>
  <si>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</si>
  <si>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</si>
  <si>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</si>
  <si>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</si>
  <si>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</si>
  <si>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</si>
  <si>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</si>
  <si>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</si>
  <si>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</si>
  <si>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</si>
  <si>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</si>
  <si>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</si>
  <si>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</si>
  <si>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</si>
  <si>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</si>
  <si>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</si>
  <si>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</si>
  <si>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</si>
  <si>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</si>
  <si>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</si>
  <si>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</si>
  <si>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</si>
  <si>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</si>
  <si>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</si>
  <si>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</si>
  <si>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</si>
  <si>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</si>
  <si>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</si>
  <si>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</si>
  <si>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</si>
  <si>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</si>
  <si>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</si>
  <si>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</si>
  <si>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</si>
  <si>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</si>
  <si>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</si>
  <si>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</si>
  <si>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</si>
  <si>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</si>
  <si>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</si>
  <si>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</si>
  <si>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</si>
  <si>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</si>
  <si>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</si>
  <si>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</si>
  <si>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</si>
  <si>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</si>
  <si>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</si>
  <si>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</si>
  <si>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</si>
  <si>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</si>
  <si>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</si>
  <si>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</si>
  <si>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</si>
  <si>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</si>
  <si>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</si>
  <si>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</si>
  <si>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</si>
  <si>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</si>
  <si>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</si>
  <si>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</si>
  <si>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</si>
  <si>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</si>
  <si>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</si>
  <si>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</si>
  <si>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</si>
  <si>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</si>
  <si>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</si>
  <si>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</si>
  <si>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</si>
  <si>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</si>
  <si>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</si>
  <si>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</si>
  <si>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</si>
  <si>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</si>
  <si>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</si>
  <si>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</si>
  <si>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</si>
  <si>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</si>
  <si>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</si>
  <si>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</si>
  <si>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</si>
  <si>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</si>
  <si>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</si>
  <si>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</si>
  <si>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</si>
  <si>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</si>
  <si>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</si>
  <si>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</si>
  <si>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</si>
  <si>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</si>
  <si>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</si>
  <si>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</si>
  <si>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</si>
  <si>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</si>
  <si>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</si>
  <si>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</si>
  <si>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</si>
  <si>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</si>
  <si>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</si>
  <si>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</si>
  <si>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</si>
  <si>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</si>
  <si>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</si>
  <si>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</si>
  <si>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</si>
  <si>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</si>
  <si>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</si>
  <si>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</si>
  <si>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</si>
  <si>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</si>
  <si>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</si>
  <si>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</si>
  <si>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</si>
  <si>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</si>
  <si>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</si>
  <si>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</si>
  <si>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</si>
  <si>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</si>
  <si>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</si>
  <si>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</si>
  <si>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</si>
  <si>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</si>
  <si>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</si>
  <si>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</si>
  <si>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</si>
  <si>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</si>
  <si>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</si>
  <si>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</si>
  <si>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</si>
  <si>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</si>
  <si>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</si>
  <si>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</si>
  <si>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</si>
  <si>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</si>
  <si>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</si>
  <si>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</si>
  <si>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</si>
  <si>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</si>
  <si>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</si>
  <si>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</si>
  <si>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</si>
  <si>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</si>
  <si>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</si>
  <si>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</si>
  <si>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</si>
  <si>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</si>
  <si>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</si>
  <si>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</si>
  <si>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</si>
  <si>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</si>
  <si>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</si>
  <si>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</si>
  <si>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</si>
  <si>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</si>
  <si>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</si>
  <si>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</si>
  <si>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</si>
  <si>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</si>
  <si>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</si>
  <si>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</si>
  <si>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</si>
  <si>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</si>
  <si>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</si>
  <si>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</si>
  <si>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</si>
  <si>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</si>
  <si>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</si>
  <si>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</si>
  <si>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</si>
  <si>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</si>
  <si>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</si>
  <si>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</si>
  <si>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</si>
  <si>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</si>
  <si>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</si>
  <si>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</si>
  <si>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</si>
  <si>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</si>
  <si>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</si>
  <si>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</si>
  <si>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</si>
  <si>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</si>
  <si>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</si>
  <si>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</si>
  <si>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</si>
  <si>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</si>
  <si>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</si>
  <si>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</si>
  <si>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</si>
  <si>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</si>
  <si>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</si>
  <si>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</si>
  <si>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</si>
  <si>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</si>
  <si>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</si>
  <si>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</si>
  <si>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</si>
  <si>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</si>
  <si>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</si>
  <si>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</si>
  <si>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</si>
  <si>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</si>
  <si>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</si>
  <si>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</si>
  <si>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</si>
  <si>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</si>
  <si>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</si>
  <si>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</si>
  <si>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</si>
  <si>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</si>
  <si>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</si>
  <si>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</si>
  <si>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</si>
  <si>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</si>
  <si>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</si>
  <si>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</si>
  <si>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</si>
  <si>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</si>
  <si>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</si>
  <si>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</si>
  <si>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</si>
  <si>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</si>
  <si>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</si>
  <si>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</si>
  <si>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</si>
  <si>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</si>
  <si>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</si>
  <si>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</si>
  <si>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</si>
  <si>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</si>
  <si>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</si>
  <si>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</si>
  <si>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</si>
  <si>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</si>
  <si>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</si>
  <si>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</si>
  <si>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</si>
  <si>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</si>
  <si>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</si>
  <si>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</si>
  <si>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</si>
  <si>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</si>
  <si>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</si>
  <si>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</si>
  <si>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</si>
  <si>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</si>
  <si>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</si>
  <si>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</si>
  <si>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</si>
  <si>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</si>
  <si>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</si>
  <si>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</si>
  <si>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</si>
  <si>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</si>
  <si>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</si>
  <si>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</si>
  <si>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</si>
  <si>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</si>
  <si>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</si>
  <si>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</si>
  <si>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</si>
  <si>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</si>
  <si>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</si>
  <si>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</si>
  <si>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</si>
  <si>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</si>
  <si>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</si>
  <si>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</si>
  <si>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</si>
  <si>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</si>
  <si>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</si>
  <si>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</si>
  <si>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</si>
  <si>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</si>
  <si>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</si>
  <si>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</si>
  <si>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</si>
  <si>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</si>
  <si>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</si>
  <si>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</si>
  <si>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</si>
  <si>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</si>
  <si>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</si>
  <si>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</si>
  <si>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</si>
  <si>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</si>
  <si>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</si>
  <si>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</si>
  <si>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</si>
  <si>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</si>
  <si>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</si>
  <si>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</si>
  <si>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</si>
  <si>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</si>
  <si>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</si>
  <si>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</si>
  <si>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</si>
  <si>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</si>
  <si>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</si>
  <si>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</si>
  <si>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</si>
  <si>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</si>
  <si>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</si>
  <si>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</si>
  <si>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</si>
  <si>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</si>
  <si>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</si>
  <si>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</si>
  <si>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</si>
  <si>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</si>
  <si>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</si>
  <si>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</si>
  <si>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</si>
  <si>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</si>
  <si>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</si>
  <si>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</si>
  <si>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</si>
  <si>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</si>
  <si>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</si>
  <si>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</si>
  <si>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</si>
  <si>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</si>
  <si>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</si>
  <si>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</si>
  <si>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</si>
  <si>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</si>
  <si>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</si>
  <si>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</si>
  <si>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</si>
  <si>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</si>
  <si>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</si>
  <si>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</si>
  <si>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</si>
  <si>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</si>
  <si>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</si>
  <si>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</si>
  <si>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</si>
  <si>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</si>
  <si>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</si>
  <si>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</si>
  <si>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</si>
  <si>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</si>
  <si>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</si>
  <si>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</si>
  <si>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</si>
  <si>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</si>
  <si>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</si>
  <si>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</si>
  <si>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</si>
  <si>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</si>
  <si>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</si>
  <si>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</si>
  <si>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</si>
  <si>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</si>
  <si>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</si>
  <si>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</si>
  <si>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</si>
  <si>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</si>
  <si>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</si>
  <si>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</si>
  <si>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</si>
  <si>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</si>
  <si>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</si>
  <si>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</si>
  <si>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</si>
  <si>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</si>
  <si>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</si>
  <si>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</si>
  <si>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</si>
  <si>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</si>
  <si>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</si>
  <si>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</si>
  <si>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</si>
  <si>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</si>
  <si>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</si>
  <si>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</si>
  <si>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</si>
  <si>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</si>
  <si>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</si>
  <si>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</si>
  <si>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</si>
  <si>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</si>
  <si>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</si>
  <si>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</si>
  <si>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</si>
  <si>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</si>
  <si>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</si>
  <si>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</si>
  <si>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</si>
  <si>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</si>
  <si>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</si>
  <si>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</si>
  <si>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</si>
  <si>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</si>
  <si>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</si>
  <si>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</si>
  <si>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</si>
  <si>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</si>
  <si>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</si>
  <si>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</si>
  <si>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</si>
  <si>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</si>
  <si>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</si>
  <si>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</si>
  <si>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</si>
  <si>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</si>
  <si>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</si>
  <si>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</si>
  <si>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</si>
  <si>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</si>
  <si>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</si>
  <si>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</si>
  <si>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</si>
  <si>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</si>
  <si>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</si>
  <si>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</si>
  <si>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</si>
  <si>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</si>
  <si>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</si>
  <si>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</si>
  <si>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</si>
  <si>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</si>
  <si>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</si>
  <si>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</si>
  <si>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</si>
  <si>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</si>
  <si>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</si>
  <si>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</si>
  <si>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</si>
  <si>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</si>
  <si>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</si>
  <si>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</si>
  <si>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</si>
  <si>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</si>
  <si>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</si>
  <si>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</si>
  <si>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</si>
  <si>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</si>
  <si>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</si>
  <si>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</si>
  <si>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</si>
  <si>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</si>
  <si>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</si>
  <si>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</si>
  <si>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</si>
  <si>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</si>
  <si>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</si>
  <si>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</si>
  <si>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</si>
  <si>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</si>
  <si>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</si>
  <si>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</si>
  <si>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</si>
  <si>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</si>
  <si>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</si>
  <si>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</si>
  <si>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</si>
  <si>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</si>
  <si>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</si>
  <si>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</si>
  <si>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</si>
  <si>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</si>
  <si>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</si>
  <si>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</si>
  <si>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</si>
  <si>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</si>
  <si>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</si>
  <si>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</si>
  <si>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</si>
  <si>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</si>
  <si>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</si>
  <si>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</si>
  <si>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</si>
  <si>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</si>
  <si>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</si>
  <si>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</si>
  <si>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</si>
  <si>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</si>
  <si>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</si>
  <si>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</si>
  <si>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</si>
  <si>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</si>
  <si>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</si>
  <si>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</si>
  <si>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</si>
  <si>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</si>
  <si>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</si>
  <si>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</si>
  <si>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</si>
  <si>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</si>
  <si>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</si>
  <si>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</si>
  <si>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</si>
  <si>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</si>
  <si>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</si>
  <si>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</si>
  <si>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</si>
  <si>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</si>
  <si>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</si>
  <si>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</si>
  <si>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</si>
  <si>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</si>
  <si>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</si>
  <si>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</si>
  <si>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</si>
  <si>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</si>
  <si>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</si>
  <si>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</si>
  <si>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</si>
  <si>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</si>
  <si>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</si>
  <si>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</si>
  <si>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</si>
  <si>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</si>
  <si>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</si>
  <si>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</si>
  <si>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</si>
  <si>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</si>
  <si>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</si>
  <si>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</si>
  <si>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</si>
  <si>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</si>
  <si>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</si>
  <si>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</si>
  <si>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</si>
  <si>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</si>
  <si>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</si>
  <si>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</si>
  <si>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</si>
  <si>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</si>
  <si>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</si>
  <si>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</si>
  <si>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</si>
  <si>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</si>
  <si>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</si>
  <si>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</si>
  <si>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</si>
  <si>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</si>
  <si>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</si>
  <si>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</si>
  <si>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</si>
  <si>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</si>
  <si>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</si>
  <si>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</si>
  <si>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</si>
  <si>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</si>
  <si>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</si>
  <si>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</si>
  <si>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</si>
  <si>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</si>
  <si>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</si>
  <si>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</si>
  <si>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</si>
  <si>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</si>
  <si>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</si>
  <si>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</si>
  <si>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</si>
  <si>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</si>
  <si>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</si>
  <si>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</si>
  <si>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</si>
  <si>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</si>
  <si>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</si>
  <si>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</si>
  <si>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</si>
  <si>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</si>
  <si>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</si>
  <si>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</si>
  <si>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</si>
  <si>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</si>
  <si>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</si>
  <si>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</si>
  <si>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</si>
  <si>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</si>
  <si>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</si>
  <si>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</si>
  <si>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</si>
  <si>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</si>
  <si>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</si>
  <si>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</si>
  <si>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</si>
  <si>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</si>
  <si>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</si>
  <si>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</si>
  <si>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</si>
  <si>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</si>
  <si>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</si>
  <si>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</si>
  <si>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</si>
  <si>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</si>
  <si>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</si>
  <si>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</si>
  <si>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</si>
  <si>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</si>
  <si>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</si>
  <si>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</si>
  <si>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</si>
  <si>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</si>
  <si>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</si>
  <si>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</si>
  <si>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</si>
  <si>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</si>
  <si>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</si>
  <si>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</si>
  <si>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</si>
  <si>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</si>
  <si>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</si>
  <si>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</si>
  <si>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</si>
  <si>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</si>
  <si>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</si>
  <si>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</si>
  <si>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</si>
  <si>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</si>
  <si>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</si>
  <si>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</si>
  <si>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</si>
  <si>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</si>
  <si>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</si>
  <si>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</si>
  <si>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</si>
  <si>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</si>
  <si>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</si>
  <si>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</si>
  <si>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</si>
  <si>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</si>
  <si>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</si>
  <si>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</si>
  <si>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</si>
  <si>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</si>
  <si>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</si>
  <si>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</si>
  <si>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</si>
  <si>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</si>
  <si>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</si>
  <si>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</si>
  <si>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</si>
  <si>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</si>
  <si>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</si>
  <si>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</si>
  <si>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</si>
  <si>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</si>
  <si>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</si>
  <si>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</si>
  <si>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</si>
  <si>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</si>
  <si>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</si>
  <si>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</si>
  <si>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</si>
  <si>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</si>
  <si>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</si>
  <si>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</si>
  <si>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</si>
  <si>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</si>
  <si>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</si>
  <si>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</si>
  <si>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</si>
  <si>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</si>
  <si>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</si>
  <si>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</si>
  <si>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</si>
  <si>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</si>
  <si>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</si>
  <si>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</si>
  <si>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</si>
  <si>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</si>
  <si>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</si>
  <si>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</si>
  <si>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</si>
  <si>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</si>
  <si>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</si>
  <si>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</si>
  <si>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</si>
  <si>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</si>
  <si>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</si>
  <si>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</si>
  <si>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</si>
  <si>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</si>
  <si>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</si>
  <si>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</si>
  <si>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</si>
  <si>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</si>
  <si>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</si>
  <si>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</si>
  <si>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</si>
  <si>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</si>
  <si>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</si>
  <si>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</si>
  <si>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</si>
  <si>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</si>
  <si>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</si>
  <si>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</si>
  <si>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</si>
  <si>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</si>
  <si>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</si>
  <si>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</si>
  <si>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</si>
  <si>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</si>
  <si>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</si>
  <si>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</si>
  <si>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</si>
  <si>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</si>
  <si>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</si>
  <si>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</si>
  <si>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</si>
  <si>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</si>
  <si>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</si>
  <si>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</si>
  <si>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</si>
  <si>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</si>
  <si>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</si>
  <si>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</si>
  <si>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</si>
  <si>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</si>
  <si>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</si>
  <si>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</si>
  <si>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</si>
  <si>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</si>
  <si>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</si>
  <si>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</si>
  <si>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</si>
  <si>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</si>
  <si>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</si>
  <si>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</si>
  <si>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</si>
  <si>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</si>
  <si>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</si>
  <si>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</si>
  <si>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</si>
  <si>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</si>
  <si>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</si>
  <si>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</si>
  <si>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</si>
  <si>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</si>
  <si>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</si>
  <si>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</si>
  <si>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</si>
  <si>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</si>
  <si>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</si>
  <si>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</si>
  <si>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</si>
  <si>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</si>
  <si>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</si>
  <si>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</si>
  <si>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</si>
  <si>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</si>
  <si>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</si>
  <si>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</si>
  <si>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</si>
  <si>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</si>
  <si>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</si>
  <si>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</si>
  <si>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</si>
  <si>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</si>
  <si>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</si>
  <si>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</si>
  <si>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</si>
  <si>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</si>
  <si>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</si>
  <si>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</si>
  <si>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</si>
  <si>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</si>
  <si>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</si>
  <si>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</si>
  <si>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</si>
  <si>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</si>
  <si>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</si>
  <si>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</si>
  <si>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</si>
  <si>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</si>
  <si>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</si>
  <si>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</si>
  <si>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</si>
  <si>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</si>
  <si>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</si>
  <si>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</si>
  <si>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</si>
  <si>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</si>
  <si>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</si>
  <si>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</si>
  <si>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</si>
  <si>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</si>
  <si>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</si>
  <si>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</si>
  <si>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</si>
  <si>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</si>
  <si>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</si>
  <si>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</si>
  <si>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</si>
  <si>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</si>
  <si>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</si>
  <si>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</si>
  <si>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</si>
  <si>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</si>
  <si>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</si>
  <si>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</si>
  <si>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</si>
  <si>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</si>
  <si>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</si>
  <si>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</si>
  <si>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</si>
  <si>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</si>
  <si>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</si>
  <si>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</si>
  <si>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</si>
  <si>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</si>
  <si>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</si>
  <si>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</si>
  <si>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</si>
  <si>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</si>
  <si>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</si>
  <si>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</si>
  <si>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</si>
  <si>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</si>
  <si>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</si>
  <si>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</si>
  <si>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</si>
  <si>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</si>
  <si>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</si>
  <si>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</si>
  <si>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</si>
  <si>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</si>
  <si>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</si>
  <si>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</si>
  <si>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</si>
  <si>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</si>
  <si>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</si>
  <si>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</si>
  <si>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</si>
  <si>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</si>
  <si>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</si>
  <si>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</si>
  <si>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</si>
  <si>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</si>
  <si>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</si>
  <si>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</si>
  <si>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</si>
  <si>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</si>
  <si>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</si>
  <si>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</si>
  <si>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</si>
  <si>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</si>
  <si>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</si>
  <si>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</si>
  <si>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</si>
  <si>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</si>
  <si>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</si>
  <si>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</si>
  <si>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</si>
  <si>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</si>
  <si>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</si>
  <si>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</si>
  <si>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</si>
  <si>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</si>
  <si>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</si>
  <si>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</si>
  <si>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</si>
  <si>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</si>
  <si>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</si>
  <si>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</si>
  <si>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</si>
  <si>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</si>
  <si>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</si>
  <si>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</si>
  <si>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</si>
  <si>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</si>
  <si>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</si>
  <si>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</si>
  <si>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</si>
  <si>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</si>
  <si>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</si>
  <si>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</si>
  <si>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</si>
  <si>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</si>
  <si>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</si>
  <si>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</si>
  <si>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</si>
  <si>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</si>
  <si>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</si>
  <si>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</si>
  <si>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</si>
  <si>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</si>
  <si>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</si>
  <si>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</si>
  <si>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</si>
  <si>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</si>
  <si>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</si>
  <si>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</si>
  <si>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</si>
  <si>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</si>
  <si>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</si>
  <si>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</si>
  <si>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</si>
  <si>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</si>
  <si>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</si>
  <si>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</si>
  <si>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</si>
  <si>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</si>
  <si>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</si>
  <si>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</si>
  <si>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</si>
  <si>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</si>
  <si>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</si>
  <si>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</si>
  <si>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</si>
  <si>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</si>
  <si>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</si>
  <si>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</si>
  <si>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</si>
  <si>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</si>
  <si>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</si>
  <si>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</si>
  <si>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</si>
  <si>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</si>
  <si>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</si>
  <si>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</si>
  <si>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</si>
  <si>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</si>
  <si>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</si>
  <si>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</si>
  <si>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</si>
  <si>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</si>
  <si>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</si>
  <si>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</si>
  <si>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</si>
  <si>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</si>
  <si>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</si>
  <si>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</si>
  <si>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</si>
  <si>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</si>
  <si>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</si>
  <si>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</si>
  <si>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</si>
  <si>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</si>
  <si>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</si>
  <si>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</si>
  <si>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</si>
  <si>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</si>
  <si>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</si>
  <si>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</si>
  <si>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</si>
  <si>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</si>
  <si>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</si>
  <si>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</si>
  <si>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</si>
  <si>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</si>
  <si>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</si>
  <si>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</si>
  <si>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</si>
  <si>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</si>
  <si>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</si>
  <si>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</si>
  <si>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</si>
  <si>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</si>
  <si>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</si>
  <si>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</si>
  <si>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</si>
  <si>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</si>
  <si>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</si>
  <si>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</si>
  <si>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</si>
  <si>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</si>
  <si>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</si>
  <si>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</si>
  <si>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</si>
  <si>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</si>
  <si>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</si>
  <si>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</si>
  <si>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</si>
  <si>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</si>
  <si>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</si>
  <si>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</si>
  <si>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</si>
  <si>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</si>
  <si>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</si>
  <si>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</si>
  <si>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</si>
  <si>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</si>
  <si>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</si>
  <si>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</si>
  <si>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</si>
  <si>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</si>
  <si>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</si>
  <si>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</si>
  <si>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</si>
  <si>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</si>
  <si>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</si>
  <si>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</si>
  <si>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</si>
  <si>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</si>
  <si>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</si>
  <si>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</si>
  <si>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</si>
  <si>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</si>
  <si>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</si>
  <si>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</si>
  <si>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</si>
  <si>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</si>
  <si>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</si>
  <si>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</si>
  <si>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</si>
  <si>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</si>
  <si>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</si>
  <si>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</si>
  <si>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</si>
  <si>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</si>
  <si>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</si>
  <si>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</si>
  <si>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</si>
  <si>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</si>
  <si>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</si>
  <si>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</si>
  <si>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</si>
  <si>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</si>
  <si>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</si>
  <si>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</si>
  <si>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</si>
  <si>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</si>
  <si>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</si>
  <si>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</si>
  <si>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</si>
  <si>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</si>
  <si>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</si>
  <si>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</si>
  <si>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</si>
  <si>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</si>
  <si>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</si>
  <si>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</si>
  <si>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</si>
  <si>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</si>
  <si>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</si>
  <si>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</si>
  <si>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</si>
  <si>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</si>
  <si>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</si>
  <si>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</si>
  <si>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</si>
  <si>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</si>
  <si>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</si>
  <si>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</si>
  <si>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</si>
  <si>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</si>
  <si>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</si>
  <si>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</si>
  <si>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</si>
  <si>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</si>
  <si>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</si>
  <si>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</si>
  <si>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</si>
  <si>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</si>
  <si>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</si>
  <si>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</si>
  <si>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</si>
  <si>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</si>
  <si>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</si>
  <si>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</si>
  <si>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</si>
  <si>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</si>
  <si>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</si>
  <si>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</si>
  <si>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</si>
  <si>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</si>
  <si>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</si>
  <si>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</si>
  <si>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</si>
  <si>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</si>
  <si>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</si>
  <si>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</si>
  <si>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</si>
  <si>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</si>
  <si>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</si>
  <si>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</si>
  <si>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</si>
  <si>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</si>
  <si>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</si>
  <si>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</si>
  <si>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</si>
  <si>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</si>
  <si>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</si>
  <si>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</si>
  <si>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</si>
  <si>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</si>
  <si>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</si>
  <si>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</si>
  <si>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</si>
  <si>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</si>
  <si>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</si>
  <si>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</si>
  <si>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</si>
  <si>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</si>
  <si>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</si>
  <si>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</si>
  <si>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</si>
  <si>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</si>
  <si>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</si>
  <si>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</si>
  <si>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</si>
  <si>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</si>
  <si>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</si>
  <si>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</si>
  <si>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</si>
  <si>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</si>
  <si>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</si>
  <si>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</si>
  <si>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</si>
  <si>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</si>
  <si>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</si>
  <si>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</si>
  <si>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</si>
  <si>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</si>
  <si>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</si>
  <si>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</si>
  <si>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</si>
  <si>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</si>
  <si>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</si>
  <si>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</si>
  <si>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</si>
  <si>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</si>
  <si>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</si>
  <si>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</si>
  <si>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</si>
  <si>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</si>
  <si>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</si>
  <si>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</si>
  <si>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</si>
  <si>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</si>
  <si>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</si>
  <si>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</si>
  <si>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</si>
  <si>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</si>
  <si>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</si>
  <si>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</si>
  <si>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</si>
  <si>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</si>
  <si>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</si>
  <si>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</si>
  <si>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</si>
  <si>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</si>
  <si>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</si>
  <si>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</si>
  <si>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</si>
  <si>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</si>
  <si>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</si>
  <si>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</si>
  <si>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</si>
  <si>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</si>
  <si>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</si>
  <si>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</si>
  <si>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</si>
  <si>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</si>
  <si>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</si>
  <si>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</si>
  <si>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</si>
  <si>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</si>
  <si>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</si>
  <si>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</si>
  <si>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</si>
  <si>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</si>
  <si>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</si>
  <si>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</si>
  <si>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</si>
  <si>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</si>
  <si>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</si>
  <si>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</si>
  <si>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</si>
  <si>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</si>
  <si>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</si>
  <si>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</si>
  <si>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</si>
  <si>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</si>
  <si>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</si>
  <si>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</si>
  <si>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</si>
  <si>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</si>
  <si>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</si>
  <si>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</si>
  <si>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</si>
  <si>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</si>
  <si>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</si>
  <si>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</si>
  <si>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</si>
  <si>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</si>
  <si>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</si>
  <si>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</si>
  <si>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</si>
  <si>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</si>
  <si>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</si>
  <si>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</si>
  <si>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</si>
  <si>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</si>
  <si>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</si>
  <si>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</si>
  <si>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</si>
  <si>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</si>
  <si>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</si>
  <si>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</si>
  <si>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</si>
  <si>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</si>
  <si>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</si>
  <si>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</si>
  <si>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</si>
  <si>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</si>
  <si>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</si>
  <si>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</si>
  <si>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</si>
  <si>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</si>
  <si>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</si>
  <si>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</si>
  <si>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</si>
  <si>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</si>
  <si>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</si>
  <si>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</si>
  <si>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</si>
  <si>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</si>
  <si>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</si>
  <si>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</si>
  <si>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</si>
  <si>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</si>
  <si>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</si>
  <si>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</si>
  <si>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</si>
  <si>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</si>
  <si>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</si>
  <si>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</si>
  <si>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</si>
  <si>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</si>
  <si>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</si>
  <si>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</si>
  <si>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</si>
  <si>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</si>
  <si>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</si>
  <si>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</si>
  <si>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</si>
  <si>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</si>
  <si>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</si>
  <si>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</si>
  <si>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</si>
  <si>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</si>
  <si>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</si>
  <si>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</si>
  <si>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</si>
  <si>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</si>
  <si>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</si>
  <si>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</si>
  <si>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</si>
  <si>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</si>
  <si>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</si>
  <si>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</si>
  <si>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</si>
  <si>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</si>
  <si>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</si>
  <si>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</si>
  <si>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</si>
  <si>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</si>
  <si>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</si>
  <si>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</si>
  <si>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</si>
  <si>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</si>
  <si>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</si>
  <si>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</si>
  <si>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</si>
  <si>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</si>
  <si>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</si>
  <si>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</si>
  <si>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</si>
  <si>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</si>
  <si>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</si>
  <si>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</si>
  <si>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</si>
  <si>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</si>
  <si>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</si>
  <si>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</si>
  <si>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</si>
  <si>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</si>
  <si>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</si>
  <si>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</si>
  <si>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</si>
  <si>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</si>
  <si>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</si>
  <si>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</si>
  <si>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</si>
  <si>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</si>
  <si>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</si>
  <si>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</si>
  <si>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</si>
  <si>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</si>
  <si>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</si>
  <si>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</si>
  <si>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</si>
  <si>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</si>
  <si>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</si>
  <si>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</si>
  <si>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</si>
  <si>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</si>
  <si>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</si>
  <si>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</si>
  <si>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</si>
  <si>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</si>
  <si>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</si>
  <si>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</si>
  <si>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</si>
  <si>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</si>
  <si>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</si>
  <si>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</si>
  <si>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</si>
  <si>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</si>
  <si>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</si>
  <si>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</si>
  <si>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</si>
  <si>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</si>
  <si>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</si>
  <si>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</si>
  <si>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</si>
  <si>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</si>
  <si>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</si>
  <si>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</si>
  <si>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</si>
  <si>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</si>
  <si>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</si>
  <si>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</si>
  <si>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</si>
  <si>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</si>
  <si>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</si>
  <si>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</si>
  <si>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</si>
  <si>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</si>
  <si>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</si>
  <si>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</si>
  <si>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</si>
  <si>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</si>
  <si>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</si>
  <si>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</si>
  <si>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</si>
  <si>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</si>
  <si>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</si>
  <si>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</si>
  <si>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</si>
  <si>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</si>
  <si>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</si>
  <si>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</si>
  <si>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</si>
  <si>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</si>
  <si>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</si>
  <si>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</si>
  <si>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</si>
  <si>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</si>
  <si>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</si>
  <si>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</si>
  <si>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</si>
  <si>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</si>
  <si>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</si>
  <si>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</si>
  <si>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</si>
  <si>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</si>
  <si>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</si>
  <si>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</si>
  <si>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</si>
  <si>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</si>
  <si>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</si>
  <si>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</si>
  <si>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</si>
  <si>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</si>
  <si>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</si>
  <si>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</si>
  <si>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</si>
  <si>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</si>
  <si>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</si>
  <si>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</si>
  <si>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</si>
  <si>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</si>
  <si>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</si>
  <si>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</si>
  <si>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</si>
  <si>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</si>
  <si>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</si>
  <si>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</si>
  <si>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</si>
  <si>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</si>
  <si>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</si>
  <si>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</si>
  <si>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</si>
  <si>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</si>
  <si>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</si>
  <si>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</si>
  <si>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</si>
  <si>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</si>
  <si>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</si>
  <si>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</si>
  <si>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</si>
  <si>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</si>
  <si>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</si>
  <si>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</si>
  <si>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</si>
  <si>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</si>
  <si>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</si>
  <si>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</si>
  <si>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</si>
  <si>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</si>
  <si>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</si>
  <si>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</si>
  <si>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</si>
  <si>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</si>
  <si>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</si>
  <si>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</si>
  <si>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</si>
  <si>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</si>
  <si>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</si>
  <si>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</si>
  <si>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</si>
  <si>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</si>
  <si>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</si>
  <si>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</si>
  <si>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</si>
  <si>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</si>
  <si>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</si>
  <si>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</si>
  <si>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</si>
  <si>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</si>
  <si>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</si>
  <si>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</si>
  <si>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</si>
  <si>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</si>
  <si>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</si>
  <si>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</si>
  <si>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</si>
  <si>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</si>
  <si>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</si>
  <si>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</si>
  <si>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</si>
  <si>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</si>
  <si>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</si>
  <si>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</si>
  <si>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</si>
  <si>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</si>
  <si>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</si>
  <si>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</si>
  <si>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</si>
  <si>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</si>
  <si>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</si>
  <si>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</si>
  <si>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</si>
  <si>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</si>
  <si>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</si>
  <si>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</si>
  <si>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</si>
  <si>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</si>
  <si>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</si>
  <si>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</si>
  <si>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</si>
  <si>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</si>
  <si>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</si>
  <si>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</si>
  <si>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</si>
  <si>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</si>
  <si>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</si>
  <si>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</si>
  <si>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</si>
  <si>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</si>
  <si>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</si>
  <si>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</si>
  <si>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</si>
  <si>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</si>
  <si>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</si>
  <si>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</si>
  <si>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</si>
  <si>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</si>
  <si>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</si>
  <si>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</si>
  <si>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</si>
  <si>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</si>
  <si>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</si>
  <si>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</si>
  <si>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</si>
  <si>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</si>
  <si>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</si>
  <si>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</si>
  <si>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</si>
  <si>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</si>
  <si>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</si>
  <si>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</si>
  <si>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</si>
  <si>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</si>
  <si>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</si>
  <si>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</si>
  <si>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</si>
  <si>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</si>
  <si>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</si>
  <si>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</si>
  <si>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</si>
  <si>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</si>
  <si>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</si>
  <si>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</si>
  <si>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</si>
  <si>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</si>
  <si>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</si>
  <si>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</si>
  <si>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</si>
  <si>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</si>
  <si>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</si>
  <si>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</si>
  <si>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</si>
  <si>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</si>
  <si>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</si>
  <si>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</si>
  <si>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</si>
  <si>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</si>
  <si>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</si>
  <si>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</si>
  <si>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</si>
  <si>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</si>
  <si>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</si>
  <si>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</si>
  <si>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</si>
  <si>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</si>
  <si>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</si>
  <si>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</si>
  <si>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</si>
  <si>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</si>
  <si>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</si>
  <si>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</si>
  <si>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</si>
  <si>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</si>
  <si>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</si>
  <si>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</si>
  <si>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</si>
  <si>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</si>
  <si>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</si>
  <si>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</si>
  <si>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</si>
  <si>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</si>
  <si>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</si>
  <si>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</si>
  <si>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</si>
  <si>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</si>
  <si>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</si>
  <si>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</si>
  <si>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</si>
  <si>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</si>
  <si>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</si>
  <si>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</si>
  <si>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</si>
  <si>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</si>
  <si>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</si>
  <si>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</si>
  <si>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</si>
  <si>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</si>
  <si>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</si>
  <si>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</si>
  <si>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</si>
  <si>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</si>
  <si>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</si>
  <si>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</si>
  <si>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</si>
  <si>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</si>
  <si>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</si>
  <si>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</si>
  <si>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</si>
  <si>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</si>
  <si>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</si>
  <si>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</si>
  <si>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</si>
  <si>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</si>
  <si>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</si>
  <si>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</si>
  <si>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</si>
  <si>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</si>
  <si>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</si>
  <si>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</si>
  <si>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</si>
  <si>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</si>
  <si>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</si>
  <si>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</si>
  <si>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</si>
  <si>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</si>
  <si>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</si>
  <si>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</si>
  <si>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</si>
  <si>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</si>
  <si>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</si>
  <si>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</si>
  <si>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</si>
  <si>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</si>
  <si>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</si>
  <si>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</si>
  <si>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</si>
  <si>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</si>
  <si>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</si>
  <si>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</si>
  <si>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</si>
  <si>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</si>
  <si>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</si>
  <si>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</si>
  <si>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</si>
  <si>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</si>
  <si>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</si>
  <si>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</si>
  <si>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</si>
  <si>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</si>
  <si>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</si>
  <si>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</si>
  <si>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</si>
  <si>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</si>
  <si>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</si>
  <si>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</si>
  <si>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</si>
  <si>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</si>
  <si>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</si>
  <si>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</si>
  <si>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</si>
  <si>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</si>
  <si>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</si>
  <si>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</si>
  <si>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</si>
  <si>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</si>
  <si>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</si>
  <si>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</si>
  <si>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</si>
  <si>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</si>
  <si>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</si>
  <si>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</si>
  <si>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</si>
  <si>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</si>
  <si>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</si>
  <si>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</si>
  <si>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</si>
  <si>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</si>
  <si>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</si>
  <si>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</si>
  <si>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</si>
  <si>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</si>
  <si>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</si>
  <si>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</si>
  <si>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</si>
  <si>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</si>
  <si>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</si>
  <si>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</si>
  <si>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</si>
  <si>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</si>
  <si>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</si>
  <si>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</si>
  <si>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</si>
  <si>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</si>
  <si>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</si>
  <si>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</si>
  <si>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</si>
  <si>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</si>
  <si>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</si>
  <si>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</si>
  <si>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</si>
  <si>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</si>
  <si>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</si>
  <si>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</si>
  <si>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</si>
  <si>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</si>
  <si>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</si>
  <si>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</si>
  <si>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</si>
  <si>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</si>
  <si>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</si>
  <si>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</si>
  <si>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</si>
  <si>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</si>
  <si>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</si>
  <si>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</si>
  <si>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</si>
  <si>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</si>
  <si>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</si>
  <si>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</si>
  <si>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</si>
  <si>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</si>
  <si>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</si>
  <si>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</si>
  <si>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</si>
  <si>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</si>
  <si>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</si>
  <si>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</si>
  <si>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</si>
  <si>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</si>
  <si>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</si>
  <si>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</si>
  <si>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</si>
  <si>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</si>
  <si>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</si>
  <si>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</si>
  <si>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</si>
  <si>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</si>
  <si>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</si>
  <si>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</si>
  <si>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</si>
  <si>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</si>
  <si>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</si>
  <si>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</si>
  <si>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</si>
  <si>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</si>
  <si>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</si>
  <si>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</si>
  <si>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</si>
  <si>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</si>
  <si>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</si>
  <si>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</si>
  <si>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</si>
  <si>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</si>
  <si>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</si>
  <si>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</si>
  <si>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</si>
  <si>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</si>
  <si>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</si>
  <si>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</si>
  <si>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</si>
  <si>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</si>
  <si>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</si>
  <si>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</si>
  <si>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</si>
  <si>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</si>
  <si>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</si>
  <si>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</si>
  <si>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</si>
  <si>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</si>
  <si>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</si>
  <si>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</si>
  <si>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</si>
  <si>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</si>
  <si>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</si>
  <si>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</si>
  <si>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</si>
  <si>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</si>
  <si>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</si>
  <si>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</si>
  <si>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</si>
  <si>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</si>
  <si>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</si>
  <si>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</si>
  <si>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</si>
  <si>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</si>
  <si>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</si>
  <si>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</si>
  <si>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</si>
  <si>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</si>
  <si>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</si>
  <si>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</si>
  <si>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</si>
  <si>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</si>
  <si>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</si>
  <si>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</si>
  <si>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</si>
  <si>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</si>
  <si>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</si>
  <si>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</si>
  <si>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</si>
  <si>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</si>
  <si>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</si>
  <si>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</si>
  <si>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</si>
  <si>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</si>
  <si>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</si>
  <si>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</si>
  <si>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</si>
  <si>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</si>
  <si>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</si>
  <si>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</si>
  <si>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</si>
  <si>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</si>
  <si>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</si>
  <si>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</si>
  <si>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</si>
  <si>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</si>
  <si>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</si>
  <si>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</si>
  <si>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</si>
  <si>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</si>
  <si>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</si>
  <si>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</si>
  <si>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</si>
  <si>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</si>
  <si>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</si>
  <si>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</si>
  <si>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</si>
  <si>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</si>
  <si>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</si>
  <si>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</si>
  <si>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</si>
  <si>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</si>
  <si>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</si>
  <si>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</si>
  <si>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</si>
  <si>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</si>
  <si>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</si>
  <si>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</si>
  <si>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</si>
  <si>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</si>
  <si>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</si>
  <si>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</si>
  <si>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</si>
  <si>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</si>
  <si>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</si>
  <si>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</si>
  <si>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</si>
  <si>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</si>
  <si>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</si>
  <si>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</si>
  <si>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</si>
  <si>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</si>
  <si>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</si>
  <si>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</si>
  <si>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</si>
  <si>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</si>
  <si>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</si>
  <si>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</si>
  <si>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</si>
  <si>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</si>
  <si>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</si>
  <si>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</si>
  <si>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</si>
  <si>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</si>
  <si>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</si>
  <si>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</si>
  <si>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</si>
  <si>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</si>
  <si>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</si>
  <si>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</si>
  <si>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</si>
  <si>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</si>
  <si>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</si>
  <si>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</si>
  <si>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</si>
  <si>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</si>
  <si>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</si>
  <si>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</si>
  <si>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</si>
  <si>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</si>
  <si>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</si>
  <si>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</si>
  <si>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</si>
  <si>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</si>
  <si>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</si>
  <si>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</si>
  <si>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</si>
  <si>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</si>
  <si>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</si>
  <si>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</si>
  <si>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</si>
  <si>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</si>
  <si>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</si>
  <si>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</si>
  <si>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</si>
  <si>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</si>
  <si>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</si>
  <si>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</si>
  <si>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</si>
  <si>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</si>
  <si>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</si>
  <si>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</si>
  <si>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</si>
  <si>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</si>
  <si>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</si>
  <si>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</si>
  <si>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</si>
  <si>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</si>
  <si>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</si>
  <si>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</si>
  <si>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</si>
  <si>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</si>
  <si>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</si>
  <si>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</si>
  <si>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</si>
  <si>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</si>
  <si>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</si>
  <si>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</si>
  <si>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</si>
  <si>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</si>
  <si>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</si>
  <si>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</si>
  <si>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</si>
  <si>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</si>
  <si>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</si>
  <si>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</si>
  <si>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</si>
  <si>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</si>
  <si>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</si>
  <si>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</si>
  <si>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</si>
  <si>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</si>
  <si>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</si>
  <si>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</si>
  <si>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</si>
  <si>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</si>
  <si>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</si>
  <si>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</si>
  <si>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</si>
  <si>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</si>
  <si>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</si>
  <si>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</si>
  <si>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</si>
  <si>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</si>
  <si>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</si>
  <si>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</si>
  <si>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</si>
  <si>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</si>
  <si>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</si>
  <si>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</si>
  <si>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</si>
  <si>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</si>
  <si>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</si>
  <si>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</si>
  <si>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</si>
  <si>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</si>
  <si>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</si>
  <si>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</si>
  <si>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</si>
  <si>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</si>
  <si>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</si>
  <si>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</si>
  <si>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</si>
  <si>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</si>
  <si>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</si>
  <si>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</si>
  <si>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</si>
  <si>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</si>
  <si>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</si>
  <si>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</si>
  <si>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</si>
  <si>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</si>
  <si>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</si>
  <si>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</si>
  <si>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</si>
  <si>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</si>
  <si>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</si>
  <si>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</si>
  <si>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</si>
  <si>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</si>
  <si>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</si>
  <si>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</si>
  <si>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</si>
  <si>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</si>
  <si>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</si>
  <si>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</si>
  <si>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</si>
  <si>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</si>
  <si>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</si>
  <si>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</si>
  <si>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</si>
  <si>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</si>
  <si>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</si>
  <si>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</si>
  <si>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</si>
  <si>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</si>
  <si>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</si>
  <si>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</si>
  <si>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</si>
  <si>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</si>
  <si>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</si>
  <si>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</si>
  <si>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</si>
  <si>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</si>
  <si>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</si>
  <si>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</si>
  <si>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</si>
  <si>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</si>
  <si>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</si>
  <si>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</si>
  <si>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</si>
  <si>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</si>
  <si>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</si>
  <si>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</si>
  <si>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</si>
  <si>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</si>
  <si>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</si>
  <si>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</si>
  <si>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</si>
  <si>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</si>
  <si>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</si>
  <si>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</si>
  <si>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</si>
  <si>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</si>
  <si>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</si>
  <si>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</si>
  <si>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</si>
  <si>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</si>
  <si>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</si>
  <si>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</si>
  <si>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</si>
  <si>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</si>
  <si>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</si>
  <si>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</si>
  <si>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</si>
  <si>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</si>
  <si>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</si>
  <si>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</si>
  <si>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</si>
  <si>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</si>
  <si>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</si>
  <si>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</si>
  <si>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</si>
  <si>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</si>
  <si>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</si>
  <si>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</si>
  <si>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</si>
  <si>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</si>
  <si>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</si>
  <si>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</si>
  <si>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</si>
  <si>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</si>
  <si>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</si>
  <si>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</si>
  <si>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</si>
  <si>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</si>
  <si>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</si>
  <si>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</si>
  <si>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</si>
  <si>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</si>
  <si>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</si>
  <si>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</si>
  <si>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</si>
  <si>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</si>
  <si>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</si>
  <si>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</si>
  <si>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</si>
  <si>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</si>
  <si>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</si>
  <si>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</si>
  <si>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</si>
  <si>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</si>
  <si>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</si>
  <si>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</si>
  <si>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</si>
  <si>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</si>
  <si>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</si>
  <si>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</si>
  <si>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</si>
  <si>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</si>
  <si>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</si>
  <si>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</si>
  <si>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</si>
  <si>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</si>
  <si>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</si>
  <si>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</si>
  <si>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</si>
  <si>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</si>
  <si>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</si>
  <si>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</si>
  <si>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</si>
  <si>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</si>
  <si>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</si>
  <si>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</si>
  <si>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</si>
  <si>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</si>
  <si>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</si>
  <si>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</si>
  <si>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</si>
  <si>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</si>
  <si>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</si>
  <si>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</si>
  <si>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</si>
  <si>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</si>
  <si>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</si>
  <si>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</si>
  <si>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</si>
  <si>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</si>
  <si>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</si>
  <si>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</si>
  <si>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</si>
  <si>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</si>
  <si>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</si>
  <si>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</si>
  <si>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</si>
  <si>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</si>
  <si>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</si>
  <si>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</si>
  <si>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</si>
  <si>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</si>
  <si>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</si>
  <si>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</si>
  <si>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</si>
  <si>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</si>
  <si>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</si>
  <si>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</si>
  <si>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</si>
  <si>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</si>
  <si>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</si>
  <si>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</si>
  <si>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</si>
  <si>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</si>
  <si>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</si>
  <si>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</si>
  <si>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</si>
  <si>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</si>
  <si>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</si>
  <si>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</si>
  <si>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</si>
  <si>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</si>
  <si>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</si>
  <si>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</si>
  <si>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</si>
  <si>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</si>
  <si>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</si>
  <si>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</si>
  <si>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</si>
  <si>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</si>
  <si>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</si>
  <si>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</si>
  <si>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</si>
  <si>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</si>
  <si>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</si>
  <si>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</si>
  <si>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</si>
  <si>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</si>
  <si>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</si>
  <si>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</si>
  <si>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</si>
  <si>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</si>
  <si>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</si>
  <si>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</si>
  <si>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</si>
  <si>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</si>
  <si>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</si>
  <si>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</si>
  <si>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</si>
  <si>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</si>
  <si>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</si>
  <si>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</si>
  <si>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</si>
  <si>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</si>
  <si>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</si>
  <si>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</si>
  <si>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</si>
  <si>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</si>
  <si>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</si>
  <si>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</si>
  <si>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</si>
  <si>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</si>
  <si>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</si>
  <si>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</si>
  <si>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</si>
  <si>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</si>
  <si>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</si>
  <si>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</si>
  <si>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</si>
  <si>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</si>
  <si>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</si>
  <si>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</si>
  <si>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</si>
  <si>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</si>
  <si>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</si>
  <si>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</si>
  <si>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</si>
  <si>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</si>
  <si>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</si>
  <si>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</si>
  <si>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</si>
  <si>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</si>
  <si>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</si>
  <si>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</si>
  <si>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</si>
  <si>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</si>
  <si>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</si>
  <si>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</si>
  <si>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</si>
  <si>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</si>
  <si>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</si>
  <si>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</si>
  <si>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</si>
  <si>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</si>
  <si>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</si>
  <si>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</si>
  <si>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</si>
  <si>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</si>
  <si>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</si>
  <si>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</si>
  <si>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</si>
  <si>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</si>
  <si>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</si>
  <si>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</si>
  <si>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</si>
  <si>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</si>
  <si>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</si>
  <si>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</si>
  <si>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</si>
  <si>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</si>
  <si>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</si>
  <si>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</si>
  <si>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</si>
  <si>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</si>
  <si>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</si>
  <si>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</si>
  <si>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</si>
  <si>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</si>
  <si>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</si>
  <si>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</si>
  <si>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</si>
  <si>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</si>
  <si>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</si>
  <si>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</si>
  <si>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</si>
  <si>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</si>
  <si>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</si>
  <si>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</si>
  <si>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</si>
  <si>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</si>
  <si>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</si>
  <si>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</si>
  <si>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</si>
  <si>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</si>
  <si>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</si>
  <si>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</si>
  <si>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</si>
  <si>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</si>
  <si>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</si>
  <si>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</si>
  <si>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</si>
  <si>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</si>
  <si>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</si>
  <si>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</si>
  <si>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</si>
  <si>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</si>
  <si>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</si>
  <si>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</si>
  <si>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</si>
  <si>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</si>
  <si>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</si>
  <si>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</si>
  <si>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</si>
  <si>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</si>
  <si>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</si>
  <si>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</si>
  <si>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</si>
  <si>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</si>
  <si>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</si>
  <si>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</si>
  <si>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</si>
  <si>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</si>
  <si>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</si>
  <si>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</si>
  <si>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</si>
  <si>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</si>
  <si>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</si>
  <si>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</si>
  <si>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</si>
  <si>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</si>
  <si>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</si>
  <si>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</si>
  <si>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</si>
  <si>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</si>
  <si>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</si>
  <si>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</si>
  <si>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</si>
  <si>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</si>
  <si>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</si>
  <si>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</si>
  <si>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</si>
  <si>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</si>
  <si>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</si>
  <si>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</si>
  <si>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</si>
  <si>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</si>
  <si>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</si>
  <si>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</si>
  <si>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</si>
  <si>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</si>
  <si>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</si>
  <si>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</si>
  <si>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</si>
  <si>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</si>
  <si>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</si>
  <si>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</si>
  <si>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</si>
  <si>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</si>
  <si>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</si>
  <si>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</si>
  <si>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</si>
  <si>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</si>
  <si>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</si>
  <si>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</si>
  <si>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</si>
  <si>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</si>
  <si>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</si>
  <si>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</si>
  <si>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</si>
  <si>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</si>
  <si>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</si>
  <si>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</si>
  <si>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</si>
  <si>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</si>
  <si>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</si>
  <si>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</si>
  <si>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</si>
  <si>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</si>
  <si>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</si>
  <si>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</si>
  <si>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</si>
  <si>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</si>
  <si>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</si>
  <si>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</si>
  <si>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</si>
  <si>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</si>
  <si>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</si>
  <si>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</si>
  <si>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</si>
  <si>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</si>
  <si>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</si>
  <si>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</si>
  <si>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</si>
  <si>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</si>
  <si>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</si>
  <si>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</si>
  <si>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</si>
  <si>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</si>
  <si>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</si>
  <si>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</si>
  <si>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</si>
  <si>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</si>
  <si>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</si>
  <si>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</si>
  <si>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</si>
  <si>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</si>
  <si>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</si>
  <si>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</si>
  <si>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</si>
  <si>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</si>
  <si>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</si>
  <si>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</si>
  <si>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</si>
  <si>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</si>
  <si>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</si>
  <si>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</si>
  <si>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</si>
  <si>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</si>
  <si>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</si>
  <si>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</si>
  <si>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</si>
  <si>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</si>
  <si>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</si>
  <si>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</si>
  <si>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</si>
  <si>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</si>
  <si>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</si>
  <si>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</si>
  <si>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</si>
  <si>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</si>
  <si>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</si>
  <si>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</si>
  <si>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</si>
  <si>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</si>
  <si>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</si>
  <si>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</si>
  <si>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</si>
  <si>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</si>
  <si>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</si>
  <si>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</si>
  <si>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</si>
  <si>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</si>
  <si>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</si>
  <si>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</si>
  <si>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</si>
  <si>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</si>
  <si>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</si>
  <si>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</si>
  <si>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</si>
  <si>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</si>
  <si>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</si>
  <si>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</si>
  <si>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</si>
  <si>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</si>
  <si>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</si>
  <si>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</si>
  <si>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</si>
  <si>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</si>
  <si>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</si>
  <si>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</si>
  <si>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</si>
  <si>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</si>
  <si>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</si>
  <si>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</si>
  <si>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</si>
  <si>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</si>
  <si>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</si>
  <si>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</si>
  <si>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</si>
  <si>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</si>
  <si>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</si>
  <si>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</si>
  <si>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</si>
  <si>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</si>
  <si>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</si>
  <si>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</si>
  <si>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</si>
  <si>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</si>
  <si>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</si>
  <si>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</si>
  <si>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</si>
  <si>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</si>
  <si>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</si>
  <si>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</si>
  <si>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</si>
  <si>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</si>
  <si>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</si>
  <si>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</si>
  <si>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</si>
  <si>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</si>
  <si>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</si>
  <si>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</si>
  <si>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</si>
  <si>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</si>
  <si>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</si>
  <si>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</si>
  <si>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</si>
  <si>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</si>
  <si>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</si>
  <si>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</si>
  <si>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</si>
  <si>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</si>
  <si>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</si>
  <si>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</si>
  <si>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</si>
  <si>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</si>
  <si>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</si>
  <si>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</si>
  <si>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</si>
  <si>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</si>
  <si>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</si>
  <si>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</si>
  <si>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</si>
  <si>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</si>
  <si>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</si>
  <si>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</si>
  <si>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</si>
  <si>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</si>
  <si>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</si>
  <si>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</si>
  <si>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</si>
  <si>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</si>
  <si>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</si>
  <si>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</si>
  <si>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</si>
  <si>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</si>
  <si>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</si>
  <si>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</si>
  <si>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</si>
  <si>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</si>
  <si>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</si>
  <si>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</si>
  <si>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</si>
  <si>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</si>
  <si>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</si>
  <si>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</si>
  <si>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</si>
  <si>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</si>
  <si>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</si>
  <si>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</si>
  <si>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</si>
  <si>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</si>
  <si>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</si>
  <si>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</si>
  <si>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</si>
  <si>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</si>
  <si>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</si>
  <si>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</si>
  <si>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</si>
  <si>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</si>
  <si>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</si>
  <si>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</si>
  <si>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</si>
  <si>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</si>
  <si>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</si>
  <si>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</si>
  <si>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</si>
  <si>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</si>
  <si>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</si>
  <si>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</si>
  <si>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</si>
  <si>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</si>
  <si>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</si>
  <si>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</si>
  <si>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</si>
  <si>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</si>
  <si>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</si>
  <si>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</si>
  <si>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</si>
  <si>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</si>
  <si>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</si>
  <si>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</si>
  <si>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</si>
  <si>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</si>
  <si>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</si>
  <si>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</si>
  <si>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</si>
  <si>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</si>
  <si>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</si>
  <si>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</si>
  <si>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</si>
  <si>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</si>
  <si>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</si>
  <si>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</si>
  <si>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</si>
  <si>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</si>
  <si>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</si>
  <si>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</si>
  <si>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</si>
  <si>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</si>
  <si>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</si>
  <si>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</si>
  <si>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</si>
  <si>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</si>
  <si>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</si>
  <si>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</si>
  <si>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</si>
  <si>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</si>
  <si>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</si>
  <si>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</si>
  <si>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</si>
  <si>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</si>
  <si>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</si>
  <si>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</si>
  <si>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</si>
  <si>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</si>
  <si>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</si>
  <si>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</si>
  <si>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</si>
  <si>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</si>
  <si>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</si>
  <si>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</si>
  <si>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</si>
  <si>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</si>
  <si>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</si>
  <si>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</si>
  <si>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</si>
  <si>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</si>
  <si>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</si>
  <si>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</si>
  <si>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</si>
  <si>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</si>
  <si>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</si>
  <si>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</si>
  <si>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</si>
  <si>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</si>
  <si>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</si>
  <si>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</si>
  <si>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</si>
  <si>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</si>
  <si>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</si>
  <si>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</si>
  <si>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</si>
  <si>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</si>
  <si>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</si>
  <si>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</si>
  <si>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</si>
  <si>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</si>
  <si>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</si>
  <si>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</si>
  <si>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</si>
  <si>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</si>
  <si>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</si>
  <si>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</si>
  <si>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</si>
  <si>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</si>
  <si>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</si>
  <si>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</si>
  <si>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</si>
  <si>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</si>
  <si>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</si>
  <si>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</si>
  <si>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</si>
  <si>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</si>
  <si>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</si>
  <si>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</si>
  <si>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</si>
  <si>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</si>
  <si>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</si>
  <si>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</si>
  <si>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</si>
  <si>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</si>
  <si>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</si>
  <si>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</si>
  <si>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</si>
  <si>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</si>
  <si>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</si>
  <si>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</si>
  <si>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</si>
  <si>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</si>
  <si>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</si>
  <si>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</si>
  <si>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</si>
  <si>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</si>
  <si>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</si>
  <si>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</si>
  <si>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</si>
  <si>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</si>
  <si>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</si>
  <si>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</si>
  <si>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</si>
  <si>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</si>
  <si>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</si>
  <si>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</si>
  <si>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</si>
  <si>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</si>
  <si>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</si>
  <si>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</si>
  <si>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</si>
  <si>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</si>
  <si>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</si>
  <si>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</si>
  <si>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</si>
  <si>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</si>
  <si>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</si>
  <si>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</si>
  <si>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</si>
  <si>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</si>
  <si>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</si>
  <si>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</si>
  <si>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</si>
  <si>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</si>
  <si>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</si>
  <si>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</si>
  <si>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</si>
  <si>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</si>
  <si>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</si>
  <si>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</si>
  <si>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</si>
  <si>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</si>
  <si>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</si>
  <si>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</si>
  <si>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</si>
  <si>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</si>
  <si>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</si>
  <si>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</si>
  <si>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</si>
  <si>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</si>
  <si>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</si>
  <si>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</si>
  <si>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</si>
  <si>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</si>
  <si>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</si>
  <si>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</si>
  <si>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</si>
  <si>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</si>
  <si>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</si>
  <si>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</si>
  <si>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</si>
  <si>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</si>
  <si>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</si>
  <si>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</si>
  <si>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</si>
  <si>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</si>
  <si>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</si>
  <si>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</si>
  <si>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</si>
  <si>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</si>
  <si>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</si>
  <si>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</si>
  <si>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</si>
  <si>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</si>
  <si>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</si>
  <si>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</si>
  <si>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</si>
  <si>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</si>
  <si>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</si>
  <si>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</si>
  <si>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</si>
  <si>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</si>
  <si>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</si>
  <si>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</si>
  <si>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</si>
  <si>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</si>
  <si>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</si>
  <si>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</si>
  <si>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</si>
  <si>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</si>
  <si>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</si>
  <si>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</si>
  <si>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</si>
  <si>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</si>
  <si>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</si>
  <si>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</si>
  <si>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</si>
  <si>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</si>
  <si>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</si>
  <si>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</si>
  <si>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</si>
  <si>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</si>
  <si>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</si>
  <si>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</si>
  <si>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</si>
  <si>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</si>
  <si>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</si>
  <si>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</si>
  <si>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</si>
  <si>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</si>
  <si>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</si>
  <si>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</si>
  <si>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</si>
  <si>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</si>
  <si>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</si>
  <si>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</si>
  <si>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</si>
  <si>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</si>
  <si>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</si>
  <si>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</si>
  <si>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</si>
  <si>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</si>
  <si>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</si>
  <si>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</si>
  <si>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</si>
  <si>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</si>
  <si>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</si>
  <si>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</si>
  <si>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</si>
  <si>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</si>
  <si>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</si>
  <si>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</si>
  <si>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</si>
  <si>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</si>
  <si>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</si>
  <si>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</si>
  <si>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</si>
  <si>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</si>
  <si>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</si>
  <si>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</si>
  <si>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</si>
  <si>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</si>
  <si>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</si>
  <si>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</si>
  <si>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</si>
  <si>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</si>
  <si>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</si>
  <si>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</si>
  <si>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</si>
  <si>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</si>
  <si>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</si>
  <si>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</si>
  <si>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</si>
  <si>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</si>
  <si>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</si>
  <si>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</si>
  <si>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</si>
  <si>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</si>
  <si>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</si>
  <si>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</si>
  <si>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</si>
  <si>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</si>
  <si>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</si>
  <si>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</si>
  <si>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</si>
  <si>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</si>
  <si>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</si>
  <si>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</si>
  <si>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</si>
  <si>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</si>
  <si>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</si>
  <si>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</si>
  <si>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</si>
  <si>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TriStar Metals, LLC</t>
  </si>
  <si>
    <t>Stainless Steel Bar and Wire, Nickel Alloys Bar and Wire (with exception to Alloy 22, L605, C276 and HX; which contain the element W) and Aluminum Bar (with exception to Alloys 6026 and 6028; which contain SN)</t>
  </si>
  <si>
    <t>36-3392123</t>
  </si>
  <si>
    <t>D&amp;B</t>
  </si>
  <si>
    <t>375 Village Dr. Carol Stream, IL 60188</t>
  </si>
  <si>
    <t>Alizabeth Souhala</t>
  </si>
  <si>
    <t>asouhala@tristarmetals.com</t>
  </si>
  <si>
    <t>(630) 384-8433</t>
  </si>
  <si>
    <t>Gary Maddock</t>
  </si>
  <si>
    <t>Principal Metallurgist</t>
  </si>
  <si>
    <t>gmaddock@tristarmetals.com</t>
  </si>
  <si>
    <t>(630) 384-8438</t>
  </si>
  <si>
    <t>Document review only</t>
  </si>
  <si>
    <t>Per our Corrective Action Procedure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</si>
</sst>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4">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6" fillId="0" borderId="0"/>
    <xf numFmtId="0"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4"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8 2" xfId="593" xr:uid="{BD4FC768-8560-4884-9608-85707963BFC4}"/>
    <cellStyle name="Normal 8 3" xfId="592" xr:uid="{D0E0327D-E1E4-465F-AE1D-B72B27A2C201}"/>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souhala@tristarmetal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gmaddock@tristarmetal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0"/>
      <c r="B2" s="38" t="s">
        <v>963</v>
      </c>
      <c r="C2" s="36"/>
      <c r="D2" s="207"/>
      <c r="E2" s="3"/>
      <c r="F2" s="36"/>
      <c r="G2" s="34"/>
    </row>
    <row r="3" spans="1:7">
      <c r="A3" s="350"/>
      <c r="B3" s="5" t="s">
        <v>952</v>
      </c>
      <c r="C3" s="6"/>
      <c r="D3" s="208"/>
      <c r="E3" s="3"/>
      <c r="F3" s="6"/>
      <c r="G3" s="34"/>
    </row>
    <row r="4" spans="1:7" ht="15.75">
      <c r="A4" s="350"/>
      <c r="B4" s="41" t="s">
        <v>965</v>
      </c>
      <c r="C4" s="7"/>
      <c r="D4" s="209"/>
      <c r="E4" s="3"/>
      <c r="F4" s="7"/>
      <c r="G4" s="34"/>
    </row>
    <row r="5" spans="1:7">
      <c r="A5" s="350"/>
      <c r="B5" s="40" t="s">
        <v>1157</v>
      </c>
      <c r="C5" s="4"/>
      <c r="D5" s="210"/>
      <c r="E5" s="3"/>
      <c r="F5" s="4"/>
      <c r="G5" s="34"/>
    </row>
    <row r="6" spans="1:7">
      <c r="A6" s="350"/>
      <c r="B6" s="8"/>
      <c r="C6" s="8"/>
      <c r="D6" s="211"/>
      <c r="E6" s="8"/>
      <c r="F6" s="8"/>
      <c r="G6" s="34"/>
    </row>
    <row r="7" spans="1:7">
      <c r="A7" s="350"/>
      <c r="B7" s="8"/>
      <c r="C7" s="8"/>
      <c r="D7" s="211"/>
      <c r="E7" s="8"/>
      <c r="F7" s="8"/>
      <c r="G7" s="34"/>
    </row>
    <row r="8" spans="1:7">
      <c r="A8" s="350"/>
      <c r="B8" s="8"/>
      <c r="C8" s="8"/>
      <c r="D8" s="211"/>
      <c r="E8" s="8"/>
      <c r="F8" s="8"/>
      <c r="G8" s="34"/>
    </row>
    <row r="9" spans="1:7">
      <c r="A9" s="350"/>
      <c r="B9" s="353" t="s">
        <v>966</v>
      </c>
      <c r="C9" s="353"/>
      <c r="D9" s="353"/>
      <c r="E9" s="353"/>
      <c r="F9" s="353"/>
      <c r="G9" s="34"/>
    </row>
    <row r="10" spans="1:7" ht="27" customHeight="1">
      <c r="A10" s="350"/>
      <c r="B10" s="354" t="s">
        <v>506</v>
      </c>
      <c r="C10" s="354"/>
      <c r="D10" s="354"/>
      <c r="E10" s="354"/>
      <c r="F10" s="354"/>
      <c r="G10" s="34"/>
    </row>
    <row r="11" spans="1:7" ht="27" customHeight="1">
      <c r="A11" s="350"/>
      <c r="B11" s="355"/>
      <c r="C11" s="355"/>
      <c r="D11" s="355"/>
      <c r="E11" s="355"/>
      <c r="F11" s="355"/>
      <c r="G11" s="34"/>
    </row>
    <row r="12" spans="1:7">
      <c r="A12" s="350"/>
      <c r="B12" s="42" t="s">
        <v>964</v>
      </c>
      <c r="C12" s="43" t="s">
        <v>967</v>
      </c>
      <c r="D12" s="212" t="s">
        <v>968</v>
      </c>
      <c r="E12" s="43" t="s">
        <v>701</v>
      </c>
      <c r="F12" s="43" t="s">
        <v>702</v>
      </c>
      <c r="G12" s="34"/>
    </row>
    <row r="13" spans="1:7" ht="33.75">
      <c r="A13" s="350"/>
      <c r="B13" s="2">
        <v>1</v>
      </c>
      <c r="C13" s="37" t="s">
        <v>1208</v>
      </c>
      <c r="D13" s="39" t="s">
        <v>992</v>
      </c>
      <c r="E13" s="196" t="s">
        <v>969</v>
      </c>
      <c r="F13" s="196"/>
      <c r="G13" s="34"/>
    </row>
    <row r="14" spans="1:7" ht="33.75">
      <c r="A14" s="350"/>
      <c r="B14" s="2">
        <v>2</v>
      </c>
      <c r="C14" s="37" t="s">
        <v>1208</v>
      </c>
      <c r="D14" s="39" t="s">
        <v>1142</v>
      </c>
      <c r="E14" s="196" t="s">
        <v>602</v>
      </c>
      <c r="F14" s="196" t="s">
        <v>603</v>
      </c>
      <c r="G14" s="34"/>
    </row>
    <row r="15" spans="1:7" ht="89.1" customHeight="1">
      <c r="A15" s="350"/>
      <c r="B15" s="356">
        <v>2.0099999999999998</v>
      </c>
      <c r="C15" s="347" t="s">
        <v>1208</v>
      </c>
      <c r="D15" s="359" t="s">
        <v>2686</v>
      </c>
      <c r="E15" s="197" t="s">
        <v>703</v>
      </c>
      <c r="F15" s="197" t="s">
        <v>706</v>
      </c>
      <c r="G15" s="34"/>
    </row>
    <row r="16" spans="1:7" ht="99" customHeight="1">
      <c r="A16" s="350"/>
      <c r="B16" s="357"/>
      <c r="C16" s="348"/>
      <c r="D16" s="360"/>
      <c r="E16" s="198"/>
      <c r="F16" s="198" t="s">
        <v>704</v>
      </c>
      <c r="G16" s="34"/>
    </row>
    <row r="17" spans="1:7" ht="63" customHeight="1">
      <c r="A17" s="350"/>
      <c r="B17" s="358"/>
      <c r="C17" s="349"/>
      <c r="D17" s="361"/>
      <c r="E17" s="37"/>
      <c r="F17" s="37" t="s">
        <v>705</v>
      </c>
      <c r="G17" s="34"/>
    </row>
    <row r="18" spans="1:7" ht="117" customHeight="1">
      <c r="A18" s="350"/>
      <c r="B18" s="356">
        <v>2.02</v>
      </c>
      <c r="C18" s="347" t="s">
        <v>1208</v>
      </c>
      <c r="D18" s="359" t="s">
        <v>2687</v>
      </c>
      <c r="E18" s="197" t="s">
        <v>507</v>
      </c>
      <c r="F18" s="197" t="s">
        <v>596</v>
      </c>
      <c r="G18" s="34"/>
    </row>
    <row r="19" spans="1:7" ht="71.099999999999994" customHeight="1">
      <c r="A19" s="350"/>
      <c r="B19" s="357"/>
      <c r="C19" s="348"/>
      <c r="D19" s="360"/>
      <c r="E19" s="198" t="s">
        <v>601</v>
      </c>
      <c r="F19" s="198" t="s">
        <v>508</v>
      </c>
      <c r="G19" s="34"/>
    </row>
    <row r="20" spans="1:7" ht="90.75" customHeight="1">
      <c r="A20" s="350"/>
      <c r="B20" s="357"/>
      <c r="C20" s="348"/>
      <c r="D20" s="360"/>
      <c r="E20" s="198"/>
      <c r="F20" s="198" t="s">
        <v>708</v>
      </c>
      <c r="G20" s="34"/>
    </row>
    <row r="21" spans="1:7" ht="74.25" customHeight="1">
      <c r="A21" s="350"/>
      <c r="B21" s="358"/>
      <c r="C21" s="349"/>
      <c r="D21" s="361"/>
      <c r="E21" s="37"/>
      <c r="F21" s="37" t="s">
        <v>707</v>
      </c>
      <c r="G21" s="34"/>
    </row>
    <row r="22" spans="1:7" ht="90" customHeight="1">
      <c r="A22" s="350"/>
      <c r="B22" s="365">
        <v>2.0299999999999998</v>
      </c>
      <c r="C22" s="365" t="s">
        <v>935</v>
      </c>
      <c r="D22" s="368" t="s">
        <v>2688</v>
      </c>
      <c r="E22" s="347" t="s">
        <v>505</v>
      </c>
      <c r="F22" s="197" t="s">
        <v>529</v>
      </c>
      <c r="G22" s="34"/>
    </row>
    <row r="23" spans="1:7" ht="109.5" customHeight="1">
      <c r="A23" s="350"/>
      <c r="B23" s="366"/>
      <c r="C23" s="366"/>
      <c r="D23" s="369"/>
      <c r="E23" s="348"/>
      <c r="F23" s="198" t="s">
        <v>936</v>
      </c>
      <c r="G23" s="34"/>
    </row>
    <row r="24" spans="1:7" ht="74.25" customHeight="1">
      <c r="A24" s="350"/>
      <c r="B24" s="367"/>
      <c r="C24" s="367"/>
      <c r="D24" s="370"/>
      <c r="E24" s="349"/>
      <c r="F24" s="37" t="s">
        <v>504</v>
      </c>
      <c r="G24" s="34"/>
    </row>
    <row r="25" spans="1:7" ht="72" customHeight="1">
      <c r="A25" s="350"/>
      <c r="B25" s="2" t="s">
        <v>527</v>
      </c>
      <c r="C25" s="37" t="s">
        <v>528</v>
      </c>
      <c r="D25" s="39" t="s">
        <v>2689</v>
      </c>
      <c r="E25" s="37" t="s">
        <v>2682</v>
      </c>
      <c r="F25" s="37" t="s">
        <v>530</v>
      </c>
      <c r="G25" s="34"/>
    </row>
    <row r="26" spans="1:7" ht="98.1" customHeight="1">
      <c r="A26" s="350"/>
      <c r="B26" s="362">
        <v>3</v>
      </c>
      <c r="C26" s="356" t="s">
        <v>74</v>
      </c>
      <c r="D26" s="359" t="s">
        <v>2690</v>
      </c>
      <c r="E26" s="347" t="s">
        <v>0</v>
      </c>
      <c r="F26" s="197" t="s">
        <v>68</v>
      </c>
      <c r="G26" s="34"/>
    </row>
    <row r="27" spans="1:7" ht="90" customHeight="1">
      <c r="A27" s="350"/>
      <c r="B27" s="363"/>
      <c r="C27" s="357"/>
      <c r="D27" s="360"/>
      <c r="E27" s="348"/>
      <c r="F27" s="198" t="s">
        <v>63</v>
      </c>
      <c r="G27" s="34"/>
    </row>
    <row r="28" spans="1:7" ht="19.350000000000001" customHeight="1">
      <c r="A28" s="350"/>
      <c r="B28" s="363"/>
      <c r="C28" s="357"/>
      <c r="D28" s="360"/>
      <c r="E28" s="348"/>
      <c r="F28" s="198" t="s">
        <v>64</v>
      </c>
      <c r="G28" s="34"/>
    </row>
    <row r="29" spans="1:7" ht="74.45" customHeight="1">
      <c r="A29" s="350"/>
      <c r="B29" s="363"/>
      <c r="C29" s="357"/>
      <c r="D29" s="360"/>
      <c r="E29" s="348"/>
      <c r="F29" s="198" t="s">
        <v>65</v>
      </c>
      <c r="G29" s="34"/>
    </row>
    <row r="30" spans="1:7" ht="62.45" customHeight="1">
      <c r="A30" s="350"/>
      <c r="B30" s="363"/>
      <c r="C30" s="357"/>
      <c r="D30" s="360"/>
      <c r="E30" s="348"/>
      <c r="F30" s="198" t="s">
        <v>66</v>
      </c>
      <c r="G30" s="34"/>
    </row>
    <row r="31" spans="1:7" ht="81" customHeight="1">
      <c r="A31" s="350"/>
      <c r="B31" s="363"/>
      <c r="C31" s="357"/>
      <c r="D31" s="360"/>
      <c r="E31" s="348"/>
      <c r="F31" s="198" t="s">
        <v>67</v>
      </c>
      <c r="G31" s="34"/>
    </row>
    <row r="32" spans="1:7" ht="48.75" customHeight="1">
      <c r="A32" s="350"/>
      <c r="B32" s="363"/>
      <c r="C32" s="357"/>
      <c r="D32" s="360"/>
      <c r="E32" s="348"/>
      <c r="F32" s="198" t="s">
        <v>70</v>
      </c>
      <c r="G32" s="34"/>
    </row>
    <row r="33" spans="1:7" ht="98.45" customHeight="1">
      <c r="A33" s="350"/>
      <c r="B33" s="363"/>
      <c r="C33" s="357"/>
      <c r="D33" s="360"/>
      <c r="E33" s="348"/>
      <c r="F33" s="198" t="s">
        <v>69</v>
      </c>
      <c r="G33" s="34"/>
    </row>
    <row r="34" spans="1:7" ht="89.1" customHeight="1">
      <c r="A34" s="350"/>
      <c r="B34" s="363"/>
      <c r="C34" s="357"/>
      <c r="D34" s="360"/>
      <c r="E34" s="348"/>
      <c r="F34" s="198" t="s">
        <v>71</v>
      </c>
      <c r="G34" s="34"/>
    </row>
    <row r="35" spans="1:7" ht="29.1" customHeight="1">
      <c r="A35" s="350"/>
      <c r="B35" s="363"/>
      <c r="C35" s="357"/>
      <c r="D35" s="360"/>
      <c r="E35" s="348"/>
      <c r="F35" s="198" t="s">
        <v>72</v>
      </c>
      <c r="G35" s="34"/>
    </row>
    <row r="36" spans="1:7" ht="126.75">
      <c r="A36" s="350"/>
      <c r="B36" s="364"/>
      <c r="C36" s="358"/>
      <c r="D36" s="361"/>
      <c r="E36" s="349"/>
      <c r="F36" s="199" t="s">
        <v>73</v>
      </c>
      <c r="G36" s="34"/>
    </row>
    <row r="37" spans="1:7" ht="123.75">
      <c r="A37" s="350"/>
      <c r="B37" s="175">
        <v>3.01</v>
      </c>
      <c r="C37" s="176" t="s">
        <v>74</v>
      </c>
      <c r="D37" s="39" t="s">
        <v>2691</v>
      </c>
      <c r="E37" s="200" t="s">
        <v>1458</v>
      </c>
      <c r="F37" s="201" t="s">
        <v>1577</v>
      </c>
      <c r="G37" s="34"/>
    </row>
    <row r="38" spans="1:7" ht="112.5">
      <c r="A38" s="350"/>
      <c r="B38" s="175">
        <v>3.02</v>
      </c>
      <c r="C38" s="176" t="s">
        <v>1492</v>
      </c>
      <c r="D38" s="39" t="s">
        <v>2692</v>
      </c>
      <c r="E38" s="200" t="s">
        <v>1507</v>
      </c>
      <c r="F38" s="201" t="s">
        <v>1578</v>
      </c>
      <c r="G38" s="34"/>
    </row>
    <row r="39" spans="1:7" ht="101.25">
      <c r="A39" s="350"/>
      <c r="B39" s="184">
        <v>4</v>
      </c>
      <c r="C39" s="183" t="s">
        <v>1757</v>
      </c>
      <c r="D39" s="39" t="s">
        <v>2693</v>
      </c>
      <c r="E39" s="37" t="s">
        <v>2625</v>
      </c>
      <c r="F39" s="37" t="s">
        <v>1758</v>
      </c>
      <c r="G39" s="34"/>
    </row>
    <row r="40" spans="1:7" ht="56.25">
      <c r="A40" s="350"/>
      <c r="B40" s="175">
        <v>4.01</v>
      </c>
      <c r="C40" s="183" t="s">
        <v>1757</v>
      </c>
      <c r="D40" s="39" t="s">
        <v>2695</v>
      </c>
      <c r="E40" s="37" t="s">
        <v>2644</v>
      </c>
      <c r="F40" s="37" t="s">
        <v>2649</v>
      </c>
      <c r="G40" s="34"/>
    </row>
    <row r="41" spans="1:7" ht="56.25">
      <c r="A41" s="350"/>
      <c r="B41" s="175" t="s">
        <v>2680</v>
      </c>
      <c r="C41" s="183" t="s">
        <v>1757</v>
      </c>
      <c r="D41" s="39" t="s">
        <v>2694</v>
      </c>
      <c r="E41" s="37" t="s">
        <v>2683</v>
      </c>
      <c r="F41" s="37" t="s">
        <v>2681</v>
      </c>
      <c r="G41" s="34"/>
    </row>
    <row r="42" spans="1:7" ht="56.25">
      <c r="A42" s="350"/>
      <c r="B42" s="175" t="s">
        <v>2732</v>
      </c>
      <c r="C42" s="183" t="s">
        <v>1757</v>
      </c>
      <c r="D42" s="39" t="s">
        <v>2903</v>
      </c>
      <c r="E42" s="37" t="s">
        <v>2682</v>
      </c>
      <c r="F42" s="37" t="s">
        <v>2733</v>
      </c>
      <c r="G42" s="34"/>
    </row>
    <row r="43" spans="1:7" ht="123.75">
      <c r="A43" s="350"/>
      <c r="B43" s="193">
        <v>4.0999999999999996</v>
      </c>
      <c r="C43" s="183" t="s">
        <v>2902</v>
      </c>
      <c r="D43" s="194">
        <v>42867</v>
      </c>
      <c r="E43" s="202" t="s">
        <v>2905</v>
      </c>
      <c r="F43" s="37" t="s">
        <v>2904</v>
      </c>
      <c r="G43" s="34"/>
    </row>
    <row r="44" spans="1:7" ht="78.75">
      <c r="A44" s="350"/>
      <c r="B44" s="193">
        <v>4.2</v>
      </c>
      <c r="C44" s="183" t="s">
        <v>2902</v>
      </c>
      <c r="D44" s="194">
        <v>42704</v>
      </c>
      <c r="E44" s="202" t="s">
        <v>3155</v>
      </c>
      <c r="F44" s="37" t="s">
        <v>3120</v>
      </c>
      <c r="G44" s="34"/>
    </row>
    <row r="45" spans="1:7" ht="157.5">
      <c r="A45" s="350"/>
      <c r="B45" s="241">
        <v>5</v>
      </c>
      <c r="C45" s="183" t="s">
        <v>2902</v>
      </c>
      <c r="D45" s="194">
        <v>42867</v>
      </c>
      <c r="E45" s="202" t="s">
        <v>13730</v>
      </c>
      <c r="F45" s="37" t="s">
        <v>13315</v>
      </c>
      <c r="G45" s="34"/>
    </row>
    <row r="46" spans="1:7" ht="45">
      <c r="A46" s="350"/>
      <c r="B46" s="193">
        <v>5.01</v>
      </c>
      <c r="C46" s="183" t="s">
        <v>2902</v>
      </c>
      <c r="D46" s="194">
        <v>42907</v>
      </c>
      <c r="E46" s="202" t="s">
        <v>13786</v>
      </c>
      <c r="F46" s="37" t="s">
        <v>13315</v>
      </c>
      <c r="G46" s="34"/>
    </row>
    <row r="47" spans="1:7" ht="67.5">
      <c r="A47" s="350"/>
      <c r="B47" s="193">
        <v>5.0999999999999996</v>
      </c>
      <c r="C47" s="183" t="s">
        <v>2902</v>
      </c>
      <c r="D47" s="194">
        <v>43070</v>
      </c>
      <c r="E47" s="202" t="s">
        <v>13985</v>
      </c>
      <c r="F47" s="37" t="s">
        <v>13986</v>
      </c>
      <c r="G47" s="34"/>
    </row>
    <row r="48" spans="1:7" ht="56.25">
      <c r="A48" s="350"/>
      <c r="B48" s="193">
        <v>5.1100000000000003</v>
      </c>
      <c r="C48" s="183" t="s">
        <v>14260</v>
      </c>
      <c r="D48" s="194">
        <v>43217</v>
      </c>
      <c r="E48" s="202" t="s">
        <v>14404</v>
      </c>
      <c r="F48" s="37" t="s">
        <v>14299</v>
      </c>
      <c r="G48" s="34"/>
    </row>
    <row r="49" spans="1:7" ht="56.25">
      <c r="A49" s="350"/>
      <c r="B49" s="193">
        <v>5.12</v>
      </c>
      <c r="C49" s="183" t="s">
        <v>14260</v>
      </c>
      <c r="D49" s="194">
        <v>43581</v>
      </c>
      <c r="E49" s="202" t="s">
        <v>14404</v>
      </c>
      <c r="F49" s="37" t="s">
        <v>15467</v>
      </c>
      <c r="G49" s="34"/>
    </row>
    <row r="50" spans="1:7" ht="13.5" thickBot="1">
      <c r="A50" s="351"/>
      <c r="B50" s="352" t="str">
        <f ca="1">OFFSET(L!$C$1,MATCH("General"&amp;"Cpy",L!$A:$A,0)-1,SL,,)</f>
        <v>© 2019 Responsible Minerals Initiative. All rights reserved.</v>
      </c>
      <c r="C50" s="352"/>
      <c r="D50" s="352"/>
      <c r="E50" s="352"/>
      <c r="F50" s="352"/>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Normal="100" zoomScalePageLayoutView="70" workbookViewId="0">
      <selection activeCell="G107" sqref="G10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11"/>
      <c r="B1" s="412"/>
      <c r="C1" s="412"/>
      <c r="D1" s="412"/>
      <c r="E1" s="412"/>
      <c r="F1" s="412"/>
      <c r="G1" s="412"/>
      <c r="H1" s="412"/>
      <c r="I1" s="412"/>
      <c r="J1" s="412"/>
      <c r="K1" s="413"/>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4" t="str">
        <f ca="1">OFFSET(L!$C$1,MATCH("Declaration"&amp;ADDRESS(ROW(),COLUMN(),4),L!$A:$A,0)-1,SL,,)</f>
        <v>Conflict Minerals Reporting Template (CMRT)</v>
      </c>
      <c r="E2" s="415"/>
      <c r="F2" s="415"/>
      <c r="G2" s="415"/>
      <c r="H2" s="415"/>
      <c r="I2" s="415"/>
      <c r="J2" s="416"/>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1"/>
      <c r="G3" s="421"/>
      <c r="H3" s="421"/>
      <c r="I3" s="186"/>
      <c r="J3" s="172" t="s">
        <v>15472</v>
      </c>
      <c r="K3" s="47"/>
      <c r="L3" s="143"/>
      <c r="M3" s="134"/>
      <c r="N3" s="134"/>
      <c r="O3" s="135"/>
      <c r="P3" s="148">
        <f>MATCH($D$3,LN,0)</f>
        <v>1</v>
      </c>
    </row>
    <row r="4" spans="1:34" ht="15.75">
      <c r="A4" s="45"/>
      <c r="B4" s="420" t="str">
        <f ca="1">OFFSET(L!$C$1,MATCH("Declaration"&amp;ADDRESS(ROW(),COLUMN(),4),L!$A:$A,0)-1,SL,,)</f>
        <v>The purpose of this document is to collect sourcing information on tin, tantalum, tungsten and gold used in products</v>
      </c>
      <c r="C4" s="420"/>
      <c r="D4" s="420"/>
      <c r="E4" s="420"/>
      <c r="F4" s="420"/>
      <c r="G4" s="420"/>
      <c r="H4" s="420"/>
      <c r="I4" s="422" t="str">
        <f ca="1">OFFSET(L!$C$1,MATCH("Declaration"&amp;ADDRESS(ROW(),COLUMN(),4),L!$A:$A,0)-1,SL,,)</f>
        <v>Link to Terms &amp; Conditions</v>
      </c>
      <c r="J4" s="422"/>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C</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20" t="str">
        <f ca="1">OFFSET(L!$C$1,MATCH("Declaration"&amp;ADDRESS(ROW(),COLUMN(),4),L!$A:$A,0)-1,SL,,)</f>
        <v>Mandatory fields are noted with an asterisk (*).  Consult the instructions tab for guidance on how to answer each question.</v>
      </c>
      <c r="C6" s="420"/>
      <c r="D6" s="420"/>
      <c r="E6" s="420"/>
      <c r="F6" s="420"/>
      <c r="G6" s="420"/>
      <c r="H6" s="420"/>
      <c r="I6" s="420"/>
      <c r="J6" s="420"/>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6" t="str">
        <f ca="1">OFFSET(L!$C$1,MATCH("Declaration"&amp;ADDRESS(ROW(),COLUMN(),4),L!$A:$A,0)-1,SL,,)</f>
        <v>Company Information</v>
      </c>
      <c r="C7" s="426"/>
      <c r="D7" s="426"/>
      <c r="E7" s="426"/>
      <c r="F7" s="426"/>
      <c r="G7" s="426"/>
      <c r="H7" s="426"/>
      <c r="I7" s="426"/>
      <c r="J7" s="426"/>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7" t="s">
        <v>15494</v>
      </c>
      <c r="E8" s="418"/>
      <c r="F8" s="418"/>
      <c r="G8" s="418"/>
      <c r="H8" s="418"/>
      <c r="I8" s="418"/>
      <c r="J8" s="419"/>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3" t="s">
        <v>566</v>
      </c>
      <c r="E9" s="424"/>
      <c r="F9" s="424"/>
      <c r="G9" s="425"/>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7" t="str">
        <f ca="1">OFFSET(L!$C$1,MATCH("Declaration"&amp;ADDRESS(ROW(),COLUMN(),4)&amp;LEFT($D$9,1),L!$A:$A,0)-1,SL,,)</f>
        <v>Description of Scope: (*)</v>
      </c>
      <c r="C10" s="155"/>
      <c r="D10" s="377" t="s">
        <v>15495</v>
      </c>
      <c r="E10" s="378"/>
      <c r="F10" s="378"/>
      <c r="G10" s="378"/>
      <c r="H10" s="378"/>
      <c r="I10" s="378"/>
      <c r="J10" s="379"/>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8"/>
      <c r="C11" s="155"/>
      <c r="D11" s="395" t="str">
        <f ca="1">IF(D9=Q9,OFFSET(L!$C$1,MATCH("Declaration"&amp;ADDRESS(ROW(),COLUMN(),4),L!$A:$A,0)-1,SL,,),"")</f>
        <v/>
      </c>
      <c r="E11" s="396"/>
      <c r="F11" s="396"/>
      <c r="G11" s="396"/>
      <c r="H11" s="396"/>
      <c r="I11" s="396"/>
      <c r="J11" s="397"/>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4" t="s">
        <v>15496</v>
      </c>
      <c r="E12" s="405"/>
      <c r="F12" s="405"/>
      <c r="G12" s="405"/>
      <c r="H12" s="405"/>
      <c r="I12" s="405"/>
      <c r="J12" s="406"/>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4" t="s">
        <v>15497</v>
      </c>
      <c r="E13" s="405"/>
      <c r="F13" s="405"/>
      <c r="G13" s="405"/>
      <c r="H13" s="405"/>
      <c r="I13" s="405"/>
      <c r="J13" s="406"/>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4" t="s">
        <v>15498</v>
      </c>
      <c r="E14" s="405"/>
      <c r="F14" s="405"/>
      <c r="G14" s="405"/>
      <c r="H14" s="405"/>
      <c r="I14" s="405"/>
      <c r="J14" s="406"/>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4" t="s">
        <v>15499</v>
      </c>
      <c r="E15" s="405"/>
      <c r="F15" s="405"/>
      <c r="G15" s="405"/>
      <c r="H15" s="405"/>
      <c r="I15" s="405"/>
      <c r="J15" s="406"/>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29" t="s">
        <v>15500</v>
      </c>
      <c r="E16" s="430"/>
      <c r="F16" s="430"/>
      <c r="G16" s="430"/>
      <c r="H16" s="430"/>
      <c r="I16" s="430"/>
      <c r="J16" s="43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4" t="s">
        <v>15501</v>
      </c>
      <c r="E17" s="405"/>
      <c r="F17" s="405"/>
      <c r="G17" s="405"/>
      <c r="H17" s="405"/>
      <c r="I17" s="405"/>
      <c r="J17" s="406"/>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4" t="s">
        <v>15502</v>
      </c>
      <c r="E18" s="405"/>
      <c r="F18" s="405"/>
      <c r="G18" s="405"/>
      <c r="H18" s="405"/>
      <c r="I18" s="405"/>
      <c r="J18" s="406"/>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4" t="s">
        <v>15503</v>
      </c>
      <c r="E19" s="405"/>
      <c r="F19" s="405"/>
      <c r="G19" s="405"/>
      <c r="H19" s="405"/>
      <c r="I19" s="405"/>
      <c r="J19" s="406"/>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9" t="s">
        <v>15504</v>
      </c>
      <c r="E20" s="430"/>
      <c r="F20" s="430"/>
      <c r="G20" s="430"/>
      <c r="H20" s="430"/>
      <c r="I20" s="430"/>
      <c r="J20" s="43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4" t="s">
        <v>15505</v>
      </c>
      <c r="E21" s="405"/>
      <c r="F21" s="405"/>
      <c r="G21" s="405"/>
      <c r="H21" s="405"/>
      <c r="I21" s="405"/>
      <c r="J21" s="406"/>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2">
        <v>43709</v>
      </c>
      <c r="E22" s="433"/>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7"/>
      <c r="E23" s="407"/>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4" t="str">
        <f ca="1">OFFSET(L!$C$1,MATCH("Declaration"&amp;ADDRESS(ROW(),COLUMN(),4),L!$A:$A,0)-1,SL,,)</f>
        <v>Answer the following questions 1 - 7 based on the declaration scope indicated above</v>
      </c>
      <c r="C24" s="434"/>
      <c r="D24" s="434"/>
      <c r="E24" s="434"/>
      <c r="F24" s="434"/>
      <c r="G24" s="434"/>
      <c r="H24" s="434"/>
      <c r="I24" s="434"/>
      <c r="J24" s="434"/>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4" t="str">
        <f ca="1">OFFSET(L!$C$1,MATCH("Declaration"&amp;ADDRESS(ROW(),COLUMN(),4),L!$A:$A,0)-1,SL,,)</f>
        <v>Answer</v>
      </c>
      <c r="E25" s="394"/>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0" t="s">
        <v>559</v>
      </c>
      <c r="E26" s="381"/>
      <c r="F26" s="15"/>
      <c r="G26" s="382"/>
      <c r="H26" s="383"/>
      <c r="I26" s="383"/>
      <c r="J26" s="384"/>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0" t="s">
        <v>559</v>
      </c>
      <c r="E27" s="381"/>
      <c r="F27" s="15"/>
      <c r="G27" s="382"/>
      <c r="H27" s="383"/>
      <c r="I27" s="383"/>
      <c r="J27" s="384"/>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0" t="s">
        <v>559</v>
      </c>
      <c r="E28" s="381"/>
      <c r="F28" s="15"/>
      <c r="G28" s="382"/>
      <c r="H28" s="383"/>
      <c r="I28" s="383"/>
      <c r="J28" s="384"/>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0" t="s">
        <v>559</v>
      </c>
      <c r="E29" s="381"/>
      <c r="F29" s="15"/>
      <c r="G29" s="382"/>
      <c r="H29" s="383"/>
      <c r="I29" s="383"/>
      <c r="J29" s="384"/>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400" t="str">
        <f ca="1">D25</f>
        <v>Answer</v>
      </c>
      <c r="E31" s="400"/>
      <c r="F31" s="21"/>
      <c r="G31" s="55" t="str">
        <f ca="1">G25</f>
        <v>Comments</v>
      </c>
      <c r="H31" s="55"/>
      <c r="I31" s="55"/>
      <c r="J31" s="99"/>
      <c r="K31" s="47"/>
      <c r="L31" s="140" t="s">
        <v>1369</v>
      </c>
      <c r="M31" s="134"/>
      <c r="N31" s="134"/>
      <c r="O31" s="135"/>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8"/>
      <c r="E32" s="399"/>
      <c r="F32" s="58"/>
      <c r="G32" s="382"/>
      <c r="H32" s="383"/>
      <c r="I32" s="383"/>
      <c r="J32" s="384"/>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0"/>
      <c r="E33" s="381"/>
      <c r="F33" s="58"/>
      <c r="G33" s="382"/>
      <c r="H33" s="383"/>
      <c r="I33" s="383"/>
      <c r="J33" s="384"/>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0"/>
      <c r="E34" s="381"/>
      <c r="F34" s="58"/>
      <c r="G34" s="382"/>
      <c r="H34" s="383"/>
      <c r="I34" s="383"/>
      <c r="J34" s="384"/>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0"/>
      <c r="E35" s="381"/>
      <c r="F35" s="58"/>
      <c r="G35" s="382"/>
      <c r="H35" s="383"/>
      <c r="I35" s="383"/>
      <c r="J35" s="384"/>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400" t="str">
        <f ca="1">D25</f>
        <v>Answer</v>
      </c>
      <c r="E37" s="400"/>
      <c r="F37" s="21"/>
      <c r="G37" s="55" t="str">
        <f ca="1">G25</f>
        <v>Comments</v>
      </c>
      <c r="H37" s="403"/>
      <c r="I37" s="403"/>
      <c r="J37" s="403"/>
      <c r="K37" s="47"/>
      <c r="L37" s="140" t="s">
        <v>1369</v>
      </c>
      <c r="M37" s="134"/>
      <c r="N37" s="134"/>
      <c r="O37" s="135"/>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0"/>
      <c r="E38" s="381"/>
      <c r="F38" s="58"/>
      <c r="G38" s="382"/>
      <c r="H38" s="383"/>
      <c r="I38" s="383"/>
      <c r="J38" s="384"/>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0"/>
      <c r="E39" s="381"/>
      <c r="F39" s="58"/>
      <c r="G39" s="382"/>
      <c r="H39" s="383"/>
      <c r="I39" s="383"/>
      <c r="J39" s="384"/>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0"/>
      <c r="E40" s="381"/>
      <c r="F40" s="58"/>
      <c r="G40" s="382"/>
      <c r="H40" s="383"/>
      <c r="I40" s="383"/>
      <c r="J40" s="384"/>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0"/>
      <c r="E41" s="381"/>
      <c r="F41" s="58"/>
      <c r="G41" s="382"/>
      <c r="H41" s="383"/>
      <c r="I41" s="383"/>
      <c r="J41" s="384"/>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 xml:space="preserve">4) Does 100 percent of the 3TG (necessary to the functionality or production of your products) originate from recycled or scrap sources? </v>
      </c>
      <c r="C43" s="13"/>
      <c r="D43" s="400" t="str">
        <f ca="1">D25</f>
        <v>Answer</v>
      </c>
      <c r="E43" s="400"/>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80"/>
      <c r="E44" s="381"/>
      <c r="F44" s="58"/>
      <c r="G44" s="382"/>
      <c r="H44" s="383"/>
      <c r="I44" s="383"/>
      <c r="J44" s="384"/>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 xml:space="preserve">Tin  </v>
      </c>
      <c r="C45" s="13"/>
      <c r="D45" s="380"/>
      <c r="E45" s="381"/>
      <c r="F45" s="58"/>
      <c r="G45" s="382"/>
      <c r="H45" s="383"/>
      <c r="I45" s="383"/>
      <c r="J45" s="384"/>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80"/>
      <c r="E46" s="381"/>
      <c r="F46" s="58"/>
      <c r="G46" s="382"/>
      <c r="H46" s="383"/>
      <c r="I46" s="383"/>
      <c r="J46" s="384"/>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80"/>
      <c r="E47" s="381"/>
      <c r="F47" s="58"/>
      <c r="G47" s="382"/>
      <c r="H47" s="383"/>
      <c r="I47" s="383"/>
      <c r="J47" s="384"/>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 xml:space="preserve">5) What percentage of relevant suppliers have provided a response to your supply chain survey? </v>
      </c>
      <c r="C49" s="13"/>
      <c r="D49" s="400" t="str">
        <f ca="1">D25</f>
        <v>Answer</v>
      </c>
      <c r="E49" s="400"/>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401"/>
      <c r="E50" s="402"/>
      <c r="F50" s="58"/>
      <c r="G50" s="382"/>
      <c r="H50" s="383"/>
      <c r="I50" s="383"/>
      <c r="J50" s="384"/>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46"/>
      <c r="D51" s="401"/>
      <c r="E51" s="402"/>
      <c r="F51" s="58"/>
      <c r="G51" s="382"/>
      <c r="H51" s="383"/>
      <c r="I51" s="383"/>
      <c r="J51" s="384"/>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401"/>
      <c r="E52" s="402"/>
      <c r="F52" s="58"/>
      <c r="G52" s="382"/>
      <c r="H52" s="383"/>
      <c r="I52" s="383"/>
      <c r="J52" s="384"/>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401"/>
      <c r="E53" s="402"/>
      <c r="F53" s="58"/>
      <c r="G53" s="382"/>
      <c r="H53" s="383"/>
      <c r="I53" s="383"/>
      <c r="J53" s="384"/>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 xml:space="preserve">6) Have you identified all of the smelters supplying the 3TG to your supply chain? </v>
      </c>
      <c r="C55" s="13"/>
      <c r="D55" s="400" t="str">
        <f ca="1">D25</f>
        <v>Answer</v>
      </c>
      <c r="E55" s="400"/>
      <c r="F55" s="21"/>
      <c r="G55" s="55" t="str">
        <f ca="1">G25</f>
        <v>Comments</v>
      </c>
      <c r="H55" s="393"/>
      <c r="I55" s="393"/>
      <c r="J55" s="393"/>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8"/>
      <c r="E56" s="399"/>
      <c r="F56" s="58"/>
      <c r="G56" s="382"/>
      <c r="H56" s="383"/>
      <c r="I56" s="383"/>
      <c r="J56" s="384"/>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13"/>
      <c r="D57" s="380"/>
      <c r="E57" s="381"/>
      <c r="F57" s="58"/>
      <c r="G57" s="382"/>
      <c r="H57" s="383"/>
      <c r="I57" s="383"/>
      <c r="J57" s="384"/>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80"/>
      <c r="E58" s="381"/>
      <c r="F58" s="58"/>
      <c r="G58" s="382"/>
      <c r="H58" s="383"/>
      <c r="I58" s="383"/>
      <c r="J58" s="384"/>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80"/>
      <c r="E59" s="381"/>
      <c r="F59" s="58"/>
      <c r="G59" s="382"/>
      <c r="H59" s="383"/>
      <c r="I59" s="383"/>
      <c r="J59" s="384"/>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 xml:space="preserve">7) Has all applicable smelter information received by your company been reported in this declaration? </v>
      </c>
      <c r="C61" s="13"/>
      <c r="D61" s="400" t="str">
        <f ca="1">D25</f>
        <v>Answer</v>
      </c>
      <c r="E61" s="400"/>
      <c r="F61" s="21"/>
      <c r="G61" s="55" t="str">
        <f ca="1">G25</f>
        <v>Comments</v>
      </c>
      <c r="H61" s="393" t="str">
        <f>IF(Q69="(*)","Click here to enter smelter names","")</f>
        <v/>
      </c>
      <c r="I61" s="393"/>
      <c r="J61" s="393"/>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80"/>
      <c r="E62" s="381"/>
      <c r="F62" s="59"/>
      <c r="G62" s="382"/>
      <c r="H62" s="383"/>
      <c r="I62" s="383"/>
      <c r="J62" s="384"/>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46"/>
      <c r="D63" s="380"/>
      <c r="E63" s="381"/>
      <c r="F63" s="59"/>
      <c r="G63" s="382"/>
      <c r="H63" s="383"/>
      <c r="I63" s="383"/>
      <c r="J63" s="384"/>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80"/>
      <c r="E64" s="381"/>
      <c r="F64" s="59"/>
      <c r="G64" s="382"/>
      <c r="H64" s="383"/>
      <c r="I64" s="383"/>
      <c r="J64" s="384"/>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80"/>
      <c r="E65" s="381"/>
      <c r="F65" s="61"/>
      <c r="G65" s="382"/>
      <c r="H65" s="383"/>
      <c r="I65" s="383"/>
      <c r="J65" s="384"/>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5" t="str">
        <f ca="1">OFFSET(L!$C$1,MATCH("Declaration"&amp;ADDRESS(ROW(),COLUMN(),4),L!$A:$A,0)-1,SL,,)</f>
        <v>Answer the Following Questions at a Company Level</v>
      </c>
      <c r="C67" s="385"/>
      <c r="D67" s="385"/>
      <c r="E67" s="385"/>
      <c r="F67" s="385"/>
      <c r="G67" s="385"/>
      <c r="H67" s="385"/>
      <c r="I67" s="385"/>
      <c r="J67" s="385"/>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4" t="str">
        <f ca="1">D25</f>
        <v>Answer</v>
      </c>
      <c r="E68" s="394"/>
      <c r="F68" s="64"/>
      <c r="G68" s="394" t="str">
        <f ca="1">G25</f>
        <v>Comments</v>
      </c>
      <c r="H68" s="394" t="e">
        <f>HLOOKUP(SL,LT,$O68,0)</f>
        <v>#NAME?</v>
      </c>
      <c r="I68" s="394"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v>
      </c>
      <c r="C69" s="68"/>
      <c r="D69" s="380" t="s">
        <v>558</v>
      </c>
      <c r="E69" s="381"/>
      <c r="F69" s="68"/>
      <c r="G69" s="382"/>
      <c r="H69" s="383"/>
      <c r="I69" s="383"/>
      <c r="J69" s="384"/>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91"/>
      <c r="H70" s="391"/>
      <c r="I70" s="391"/>
      <c r="J70" s="391"/>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v>
      </c>
      <c r="C71" s="68"/>
      <c r="D71" s="380" t="s">
        <v>559</v>
      </c>
      <c r="E71" s="381"/>
      <c r="F71" s="68"/>
      <c r="G71" s="408"/>
      <c r="H71" s="409"/>
      <c r="I71" s="409"/>
      <c r="J71" s="410"/>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v>
      </c>
      <c r="C73" s="68"/>
      <c r="D73" s="380" t="s">
        <v>558</v>
      </c>
      <c r="E73" s="381"/>
      <c r="F73" s="68"/>
      <c r="G73" s="382"/>
      <c r="H73" s="383"/>
      <c r="I73" s="383"/>
      <c r="J73" s="384"/>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v>
      </c>
      <c r="C75" s="68"/>
      <c r="D75" s="380" t="s">
        <v>558</v>
      </c>
      <c r="E75" s="381"/>
      <c r="F75" s="68"/>
      <c r="G75" s="382"/>
      <c r="H75" s="383"/>
      <c r="I75" s="383"/>
      <c r="J75" s="384"/>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v>
      </c>
      <c r="C77" s="68"/>
      <c r="D77" s="380" t="s">
        <v>558</v>
      </c>
      <c r="E77" s="381"/>
      <c r="F77" s="68"/>
      <c r="G77" s="382"/>
      <c r="H77" s="383"/>
      <c r="I77" s="383"/>
      <c r="J77" s="384"/>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v>
      </c>
      <c r="C79" s="68"/>
      <c r="D79" s="389" t="s">
        <v>13311</v>
      </c>
      <c r="E79" s="390"/>
      <c r="F79" s="68"/>
      <c r="G79" s="382"/>
      <c r="H79" s="383"/>
      <c r="I79" s="383"/>
      <c r="J79" s="384"/>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91"/>
      <c r="H80" s="391"/>
      <c r="I80" s="391"/>
      <c r="J80" s="391"/>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v>
      </c>
      <c r="C81" s="68"/>
      <c r="D81" s="380" t="s">
        <v>558</v>
      </c>
      <c r="E81" s="381"/>
      <c r="F81" s="68"/>
      <c r="G81" s="382" t="s">
        <v>15506</v>
      </c>
      <c r="H81" s="383"/>
      <c r="I81" s="383"/>
      <c r="J81" s="384"/>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92"/>
      <c r="H82" s="392"/>
      <c r="I82" s="392"/>
      <c r="J82" s="392"/>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v>
      </c>
      <c r="C83" s="68"/>
      <c r="D83" s="380" t="s">
        <v>558</v>
      </c>
      <c r="E83" s="381"/>
      <c r="F83" s="68"/>
      <c r="G83" s="382" t="s">
        <v>15507</v>
      </c>
      <c r="H83" s="383"/>
      <c r="I83" s="383"/>
      <c r="J83" s="384"/>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v>
      </c>
      <c r="C85" s="68"/>
      <c r="D85" s="380" t="s">
        <v>559</v>
      </c>
      <c r="E85" s="381"/>
      <c r="F85" s="68"/>
      <c r="G85" s="382"/>
      <c r="H85" s="383"/>
      <c r="I85" s="383"/>
      <c r="J85" s="384"/>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8" t="str">
        <f>IF(OR($D$8="",$I$3=""),"","Click here to check required fields completion")</f>
        <v/>
      </c>
      <c r="C86" s="388"/>
      <c r="D86" s="388"/>
      <c r="E86" s="388"/>
      <c r="F86" s="388"/>
      <c r="G86" s="388"/>
      <c r="H86" s="388"/>
      <c r="I86" s="388"/>
      <c r="J86" s="388"/>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6" t="str">
        <f ca="1">OFFSET(L!$C$1,MATCH("General"&amp;"Cpy",L!$A:$A,0)-1,SL,,)</f>
        <v>© 2019 Responsible Minerals Initiative. All rights reserved.</v>
      </c>
      <c r="B87" s="387"/>
      <c r="C87" s="387"/>
      <c r="D87" s="387"/>
      <c r="E87" s="387"/>
      <c r="F87" s="387"/>
      <c r="G87" s="387"/>
      <c r="H87" s="387"/>
      <c r="I87" s="387"/>
      <c r="J87" s="387"/>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D62:E62"/>
    <mergeCell ref="G56:J56"/>
    <mergeCell ref="G71:J71"/>
    <mergeCell ref="A1:K1"/>
    <mergeCell ref="D2:J2"/>
    <mergeCell ref="D8:J8"/>
    <mergeCell ref="D18:J18"/>
    <mergeCell ref="B4:H4"/>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G57:J57"/>
    <mergeCell ref="G58:J58"/>
    <mergeCell ref="D56:E56"/>
    <mergeCell ref="D61:E61"/>
    <mergeCell ref="G59:J59"/>
    <mergeCell ref="G47:J47"/>
    <mergeCell ref="D53:E53"/>
    <mergeCell ref="D50:E50"/>
    <mergeCell ref="G50:J50"/>
    <mergeCell ref="D55:E55"/>
    <mergeCell ref="A87:J87"/>
    <mergeCell ref="G79:J79"/>
    <mergeCell ref="B86:J86"/>
    <mergeCell ref="G85:J85"/>
    <mergeCell ref="D75:E75"/>
    <mergeCell ref="D81:E81"/>
    <mergeCell ref="D79:E79"/>
    <mergeCell ref="D83:E83"/>
    <mergeCell ref="G80:J80"/>
    <mergeCell ref="G81:J81"/>
    <mergeCell ref="D85:E85"/>
    <mergeCell ref="G82:J82"/>
    <mergeCell ref="D10:J10"/>
    <mergeCell ref="D65:E65"/>
    <mergeCell ref="G69:J69"/>
    <mergeCell ref="D64:E64"/>
    <mergeCell ref="D69:E69"/>
    <mergeCell ref="B67:J67"/>
    <mergeCell ref="D77:E77"/>
    <mergeCell ref="G83:J83"/>
    <mergeCell ref="D73:E73"/>
    <mergeCell ref="G77:J77"/>
    <mergeCell ref="G73:J73"/>
    <mergeCell ref="H61:J61"/>
    <mergeCell ref="D71:E71"/>
    <mergeCell ref="G68:I68"/>
    <mergeCell ref="D68:E68"/>
    <mergeCell ref="G70:J70"/>
    <mergeCell ref="D11:J11"/>
    <mergeCell ref="D34:E34"/>
    <mergeCell ref="D33:E33"/>
    <mergeCell ref="G34:J34"/>
    <mergeCell ref="G46:J46"/>
    <mergeCell ref="D59:E59"/>
    <mergeCell ref="D58:E58"/>
    <mergeCell ref="D57:E57"/>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36BC3AD6-600D-46F1-BF3F-46EC78F680AD}"/>
    <hyperlink ref="D20" r:id="rId4" xr:uid="{1078BF01-2695-4A90-A269-902851F9B857}"/>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4" zoomScaleNormal="100" zoomScalePageLayoutView="55" workbookViewId="0">
      <selection activeCell="C18" sqref="C18"/>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6"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tr">
        <f>IF(LEN(A5)=0,"",INDEX('Smelter Look-up'!$A:$A,MATCH($A5,'Smelter Look-up'!$E:$E,0)))</f>
        <v/>
      </c>
      <c r="C5" s="220" t="str">
        <f>IF(LEN(A5)=0,"",INDEX('Smelter Look-up'!$C:$C,MATCH($A5,'Smelter Look-up'!$E:$E,0)))</f>
        <v/>
      </c>
      <c r="D5" s="216"/>
      <c r="E5" s="216" t="str">
        <f ca="1">IF(ISERROR($V5),"",OFFSET('Smelter Look-up'!$D$4,$V5-4,0)&amp;"")</f>
        <v/>
      </c>
      <c r="F5" s="216" t="str">
        <f ca="1">IF(ISERROR($V5),"",OFFSET('Smelter Look-up'!$E$4,$V5-4,0))</f>
        <v/>
      </c>
      <c r="G5" s="216" t="str">
        <f ca="1">IF(C5=$X$4,"Enter smelter details", IF(ISERROR($V5),"",OFFSET('Smelter Look-up'!$F$4,$V5-4,0)))</f>
        <v/>
      </c>
      <c r="H5" s="217" t="str">
        <f ca="1">IF(ISERROR($V5),"",OFFSET('Smelter Look-up'!$G$4,$V5-4,0))</f>
        <v/>
      </c>
      <c r="I5" s="218" t="str">
        <f ca="1">IF(ISERROR($V5),"",OFFSET('Smelter Look-up'!$H$4,$V5-4,0))</f>
        <v/>
      </c>
      <c r="J5" s="218" t="str">
        <f ca="1">IF(ISERROR($V5),"",OFFSET('Smelter Look-up'!$I$4,$V5-4,0))</f>
        <v/>
      </c>
      <c r="K5" s="267"/>
      <c r="L5" s="267"/>
      <c r="M5" s="267"/>
      <c r="N5" s="267"/>
      <c r="O5" s="267"/>
      <c r="P5" s="219"/>
      <c r="Q5" s="268"/>
      <c r="R5" s="216" t="str">
        <f ca="1">IF(ISERROR($V5),"",OFFSET('Smelter Look-up'!$C$4,$V5-4,0)&amp;"")</f>
        <v/>
      </c>
      <c r="S5" s="224" t="str">
        <f t="shared" ref="S5:S68" ca="1" si="0">IF(B5="","",IF(ISERROR(MATCH($E5,CL,0)),"Unknown",INDIRECT("'C'!$A$"&amp;MATCH($E5,CL,0)+1)))</f>
        <v/>
      </c>
      <c r="T5" s="224" t="str">
        <f ca="1">IF(B5="","",IF(ISERROR(MATCH($J5,SorP!$B$1:$B$6230,0)),"",INDIRECT("'SorP'!$A$"&amp;MATCH($J5,SorP!$B$1:$B$6230,0))))</f>
        <v/>
      </c>
      <c r="U5" s="239"/>
      <c r="V5" s="269" t="e">
        <f>IF(C5="",NA(),MATCH($B5&amp;$C5,'Smelter Look-up'!$J:$J,0))</f>
        <v>#N/A</v>
      </c>
      <c r="W5" s="270"/>
      <c r="X5" s="270">
        <f t="shared" ref="X5:X68" ca="1" si="1">IF(AND(C5="Smelter not listed",OR(LEN(D5)=0,LEN(E5)=0)),1,0)</f>
        <v>0</v>
      </c>
      <c r="Y5" s="270"/>
      <c r="Z5" s="270"/>
      <c r="AB5" s="272" t="str">
        <f t="shared" ref="AB5:AB68" si="2">B5&amp;C5</f>
        <v/>
      </c>
    </row>
    <row r="6" spans="1:34" s="271" customFormat="1" ht="20.100000000000001" customHeight="1">
      <c r="A6" s="215"/>
      <c r="B6" s="216" t="str">
        <f>IF(LEN(A6)=0,"",INDEX('Smelter Look-up'!$A:$A,MATCH($A6,'Smelter Look-up'!$E:$E,0)))</f>
        <v/>
      </c>
      <c r="C6" s="220" t="str">
        <f>IF(LEN(A6)=0,"",INDEX('Smelter Look-up'!$C:$C,MATCH($A6,'Smelter Look-up'!$E:$E,0)))</f>
        <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20.100000000000001"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TriStar Metals, LLC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C. User defined [Specify in 'Description of scope']</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63.75">
      <c r="A6" s="106" t="str">
        <f ca="1">Declaration!B10</f>
        <v>Description of Scope: (*)</v>
      </c>
      <c r="B6" s="105" t="str">
        <f>Declaration!D10</f>
        <v>Stainless Steel Bar and Wire, Nickel Alloys Bar and Wire (with exception to Alloy 22, L605, C276 and HX; which contain the element W) and Aluminum Bar (with exception to Alloys 6026 and 6028; which contain SN)</v>
      </c>
      <c r="C6" s="105" t="str">
        <f t="shared" ca="1" si="0"/>
        <v>Complete</v>
      </c>
      <c r="D6" s="111" t="str">
        <f>IF(H6=1,"Click here to provide a Description of Scope","")</f>
        <v/>
      </c>
      <c r="E6" s="87" t="s">
        <v>1437</v>
      </c>
      <c r="F6" s="110">
        <f>IF(OR(B5=Declaration!P9,B5=Declaration!Q9,B5=0),0,1)</f>
        <v>1</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Alizabeth Souhala</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asouhala@tristarmetals.com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(630) 384-8433</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Gary Maddock</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gmaddock@tristarmetals.com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(630) 384-8438</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43709</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 xml:space="preserve">Tin  </v>
      </c>
      <c r="B16" s="105" t="str">
        <f>Declaration!D27</f>
        <v>No</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 xml:space="preserve">Tin  </v>
      </c>
      <c r="B21" s="105">
        <f>IF($B$16="Yes",Declaration!D33,0)</f>
        <v>0</v>
      </c>
      <c r="C21" s="105" t="str">
        <f t="shared" ca="1" si="3"/>
        <v>Complete</v>
      </c>
      <c r="D21" s="113" t="str">
        <f>IF(H21=1,"Click here to answer question 2 for Tin","")</f>
        <v/>
      </c>
      <c r="E21" s="87" t="s">
        <v>918</v>
      </c>
      <c r="F21" s="110">
        <f>IF(B$16="No",0,1)</f>
        <v>0</v>
      </c>
      <c r="G21" s="84">
        <f t="shared" si="4"/>
        <v>1</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 xml:space="preserve">Tin  </v>
      </c>
      <c r="B26" s="105">
        <f>IF(AND($B$16="Yes",$B$21="Yes"),Declaration!D39,0)</f>
        <v>0</v>
      </c>
      <c r="C26" s="105" t="str">
        <f t="shared" ca="1" si="3"/>
        <v>Complete</v>
      </c>
      <c r="D26" s="113" t="str">
        <f>IF(H26=1,"Click here to answer question 3 for Tin","")</f>
        <v/>
      </c>
      <c r="E26" s="87" t="s">
        <v>918</v>
      </c>
      <c r="F26" s="110">
        <f>IF(OR(B16="No",B21="No"),0,1)</f>
        <v>0</v>
      </c>
      <c r="G26" s="84">
        <f t="shared" si="5"/>
        <v>1</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 xml:space="preserve">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 xml:space="preserve">Tin  </v>
      </c>
      <c r="B31" s="105">
        <f>IF(AND($B$16="Yes",$B$21="Yes"),Declaration!D45,0)</f>
        <v>0</v>
      </c>
      <c r="C31" s="105" t="str">
        <f ca="1">IF(H31=1,J31,I31)</f>
        <v>Complete</v>
      </c>
      <c r="D31" s="113" t="str">
        <f>IF(H31=1,"Click here to answer question 4 for Tin","")</f>
        <v/>
      </c>
      <c r="E31" s="87" t="s">
        <v>1437</v>
      </c>
      <c r="F31" s="110">
        <f>F26</f>
        <v>0</v>
      </c>
      <c r="G31" s="84">
        <f>IF(B31=0,1,0)</f>
        <v>1</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 xml:space="preserve">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 xml:space="preserve">Tin  </v>
      </c>
      <c r="B36" s="105">
        <f>IF(AND($B$16="Yes",$B$21="Yes"),Declaration!D51,0)</f>
        <v>0</v>
      </c>
      <c r="C36" s="105" t="str">
        <f ca="1">IF(H36=1,J36,I36)</f>
        <v>Complete</v>
      </c>
      <c r="D36" s="111" t="str">
        <f>IF(H36=1,"Click here to answer question 5 for Tin","")</f>
        <v/>
      </c>
      <c r="E36" s="87" t="s">
        <v>917</v>
      </c>
      <c r="F36" s="110">
        <f>F26</f>
        <v>0</v>
      </c>
      <c r="G36" s="84">
        <f t="shared" si="5"/>
        <v>1</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 xml:space="preserve">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 xml:space="preserve">Tin  </v>
      </c>
      <c r="B41" s="105">
        <f>IF(AND($B$16="Yes",$B$21="Yes"),Declaration!D57,0)</f>
        <v>0</v>
      </c>
      <c r="C41" s="105" t="str">
        <f t="shared" ca="1" si="3"/>
        <v>Complete</v>
      </c>
      <c r="D41" s="113" t="str">
        <f>IF(H41=1,"Click here to answer question 6 for Tin","")</f>
        <v/>
      </c>
      <c r="E41" s="87" t="s">
        <v>1433</v>
      </c>
      <c r="F41" s="110">
        <f>F26</f>
        <v>0</v>
      </c>
      <c r="G41" s="84">
        <f t="shared" si="5"/>
        <v>1</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 xml:space="preserve">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 xml:space="preserve">Tin  </v>
      </c>
      <c r="B46" s="105">
        <f>IF(AND($B$16="Yes",$B$21="Yes"),Declaration!D63,0)</f>
        <v>0</v>
      </c>
      <c r="C46" s="105" t="str">
        <f t="shared" ca="1" si="3"/>
        <v>Complete</v>
      </c>
      <c r="D46" s="114" t="str">
        <f>IF(H46=1,"Click here to answer question 7 for Tin","")</f>
        <v/>
      </c>
      <c r="E46" s="87" t="s">
        <v>918</v>
      </c>
      <c r="F46" s="110">
        <f>F26</f>
        <v>0</v>
      </c>
      <c r="G46" s="84">
        <f t="shared" si="5"/>
        <v>1</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v>
      </c>
      <c r="B50" s="105" t="str">
        <f>Declaration!D69</f>
        <v>Yes</v>
      </c>
      <c r="C50" s="105" t="str">
        <f t="shared" ca="1" si="3"/>
        <v>Complete</v>
      </c>
      <c r="D50" s="111" t="str">
        <f>IF(H50=1,"Click here to answer question (A)","")</f>
        <v/>
      </c>
      <c r="E50" s="87" t="s">
        <v>1437</v>
      </c>
      <c r="F50" s="110">
        <f>IF(SUM(F$25:F$28)=0,0,1)</f>
        <v>0</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v>
      </c>
      <c r="B51" s="105" t="str">
        <f>Declaration!D71</f>
        <v>No</v>
      </c>
      <c r="C51" s="105" t="str">
        <f t="shared" ca="1" si="3"/>
        <v>Complete</v>
      </c>
      <c r="D51" s="111" t="str">
        <f>IF(H51=1,"Click here to answer question (B)","")</f>
        <v/>
      </c>
      <c r="E51" s="87" t="s">
        <v>1437</v>
      </c>
      <c r="F51" s="110">
        <f t="shared" ref="F51:F60" si="7">F$50</f>
        <v>0</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v>
      </c>
      <c r="B53" s="105" t="str">
        <f>Declaration!D73</f>
        <v>Yes</v>
      </c>
      <c r="C53" s="105" t="str">
        <f t="shared" ca="1" si="3"/>
        <v>Complete</v>
      </c>
      <c r="D53" s="111" t="str">
        <f>IF(H53=1,"Click here to answer question (C)","")</f>
        <v/>
      </c>
      <c r="E53" s="87" t="s">
        <v>1437</v>
      </c>
      <c r="F53" s="110">
        <f t="shared" si="7"/>
        <v>0</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v>
      </c>
      <c r="B54" s="105" t="str">
        <f>Declaration!D75</f>
        <v>Yes</v>
      </c>
      <c r="C54" s="105" t="str">
        <f ca="1">IF(H54=1,J54,I54)</f>
        <v>Complete</v>
      </c>
      <c r="D54" s="111" t="str">
        <f>IF(H54=1,"Click here to answer question (D)","")</f>
        <v/>
      </c>
      <c r="E54" s="87" t="s">
        <v>1437</v>
      </c>
      <c r="F54" s="110">
        <f t="shared" si="7"/>
        <v>0</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v>
      </c>
      <c r="B55" s="105" t="str">
        <f>Declaration!D77</f>
        <v>Yes</v>
      </c>
      <c r="C55" s="105" t="str">
        <f t="shared" ca="1" si="3"/>
        <v>Complete</v>
      </c>
      <c r="D55" s="111" t="str">
        <f>IF(H55=1,"Click here to answer question (E)","")</f>
        <v/>
      </c>
      <c r="E55" s="87" t="s">
        <v>1437</v>
      </c>
      <c r="F55" s="110">
        <f t="shared" si="7"/>
        <v>0</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v>
      </c>
      <c r="B56" s="105" t="str">
        <f>Declaration!D79</f>
        <v>Yes, in conformance with IPC1755 (e.g., CMRT)</v>
      </c>
      <c r="C56" s="105" t="str">
        <f t="shared" ca="1" si="3"/>
        <v>Complete</v>
      </c>
      <c r="D56" s="111" t="str">
        <f>IF(H56=1,"Click here to answer question (F)","")</f>
        <v/>
      </c>
      <c r="E56" s="87" t="s">
        <v>1437</v>
      </c>
      <c r="F56" s="110">
        <f t="shared" si="7"/>
        <v>0</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v>
      </c>
      <c r="B58" s="105" t="str">
        <f>Declaration!D81</f>
        <v>Yes</v>
      </c>
      <c r="C58" s="105" t="str">
        <f t="shared" ca="1" si="3"/>
        <v>Complete</v>
      </c>
      <c r="D58" s="111" t="str">
        <f>IF(H58=1,"Click here to answer question (G)","")</f>
        <v/>
      </c>
      <c r="E58" s="87" t="s">
        <v>1437</v>
      </c>
      <c r="F58" s="110">
        <f t="shared" si="7"/>
        <v>0</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v>
      </c>
      <c r="B59" s="105" t="str">
        <f>Declaration!D83</f>
        <v>Yes</v>
      </c>
      <c r="C59" s="105" t="str">
        <f t="shared" ca="1" si="3"/>
        <v>Complete</v>
      </c>
      <c r="D59" s="111" t="str">
        <f>IF(H59=1,"Click here to answer question (H)","")</f>
        <v/>
      </c>
      <c r="E59" s="87" t="s">
        <v>1437</v>
      </c>
      <c r="F59" s="110">
        <f t="shared" si="7"/>
        <v>0</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v>
      </c>
      <c r="B60" s="105" t="str">
        <f>Declaration!D85</f>
        <v>No</v>
      </c>
      <c r="C60" s="105" t="str">
        <f t="shared" ca="1" si="3"/>
        <v>Complete</v>
      </c>
      <c r="D60" s="111" t="str">
        <f>IF(H60=1,"Click here to answer question (I)","")</f>
        <v/>
      </c>
      <c r="E60" s="87" t="s">
        <v>1437</v>
      </c>
      <c r="F60" s="110">
        <f t="shared" si="7"/>
        <v>0</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IF(K63=1,L63,IF(B16="No","Not Required",IF(G63=0,I63,J63)))</f>
        <v>Not Required</v>
      </c>
      <c r="D63" s="111" t="str">
        <f>IF(H63=0,"","Click here to provide smelter information")</f>
        <v/>
      </c>
      <c r="E63" s="87" t="s">
        <v>918</v>
      </c>
      <c r="F63" s="110">
        <f>F26</f>
        <v>0</v>
      </c>
      <c r="G63" s="84">
        <f>IF(AND(COUNTIF(SmelterIdetifiedForMetal,"Tin")&gt;0,COUNTIF('Smelter List'!AB$5:AB$2493,"Tin?*")&gt;0),0,1)</f>
        <v>1</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30.7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30.7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Seth Fischer  (Tri Star Metals)</cp:lastModifiedBy>
  <cp:lastPrinted>2015-04-21T20:47:43Z</cp:lastPrinted>
  <dcterms:created xsi:type="dcterms:W3CDTF">2010-06-21T21:00:23Z</dcterms:created>
  <dcterms:modified xsi:type="dcterms:W3CDTF">2020-01-13T14:34:47Z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